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rak\OneDrive\デスクトップ\"/>
    </mc:Choice>
  </mc:AlternateContent>
  <xr:revisionPtr revIDLastSave="0" documentId="13_ncr:1_{4DF84E66-9EC5-4802-B85B-F38558DAD0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個人一覧" sheetId="1" r:id="rId1"/>
  </sheets>
  <definedNames>
    <definedName name="_xlnm._FilterDatabase" localSheetId="0" hidden="1">個人一覧!$A$8:$K$75</definedName>
    <definedName name="_xlnm.Print_Area" localSheetId="0">個人一覧!$A$1:$K$75</definedName>
    <definedName name="種目コード">個人一覧!#REF!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P19" i="1"/>
  <c r="O19" i="1"/>
  <c r="P20" i="1"/>
  <c r="O20" i="1"/>
  <c r="G5" i="1"/>
  <c r="J75" i="1" l="1"/>
  <c r="J74" i="1"/>
  <c r="J73" i="1"/>
  <c r="J72" i="1"/>
  <c r="J71" i="1" l="1"/>
  <c r="J70" i="1"/>
  <c r="J69" i="1"/>
  <c r="J68" i="1"/>
  <c r="J67" i="1"/>
  <c r="J66" i="1"/>
  <c r="J65" i="1"/>
  <c r="J64" i="1"/>
  <c r="J63" i="1" l="1"/>
  <c r="J62" i="1"/>
  <c r="J61" i="1"/>
  <c r="J60" i="1"/>
  <c r="J59" i="1"/>
  <c r="J58" i="1"/>
  <c r="J57" i="1"/>
  <c r="J56" i="1" l="1"/>
  <c r="J55" i="1" l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 l="1"/>
  <c r="J38" i="1" l="1"/>
  <c r="J37" i="1" l="1"/>
  <c r="J36" i="1" l="1"/>
  <c r="J35" i="1"/>
  <c r="J34" i="1"/>
  <c r="J33" i="1"/>
  <c r="J32" i="1" l="1"/>
  <c r="J31" i="1"/>
  <c r="J30" i="1"/>
  <c r="J29" i="1"/>
  <c r="J28" i="1"/>
  <c r="J27" i="1"/>
  <c r="J26" i="1"/>
  <c r="J25" i="1"/>
  <c r="J24" i="1"/>
  <c r="J23" i="1"/>
  <c r="J22" i="1"/>
  <c r="J21" i="1" l="1"/>
  <c r="J20" i="1"/>
  <c r="J19" i="1"/>
  <c r="J18" i="1" l="1"/>
  <c r="J17" i="1" l="1"/>
  <c r="J16" i="1" l="1"/>
  <c r="J15" i="1" l="1"/>
  <c r="J14" i="1" l="1"/>
  <c r="J13" i="1" l="1"/>
  <c r="J12" i="1"/>
  <c r="J11" i="1" l="1"/>
  <c r="G6" i="1"/>
  <c r="Q34" i="1"/>
  <c r="P34" i="1"/>
  <c r="O34" i="1"/>
  <c r="P33" i="1"/>
  <c r="Q33" i="1"/>
  <c r="O33" i="1"/>
  <c r="Q32" i="1"/>
  <c r="P32" i="1"/>
  <c r="O32" i="1"/>
  <c r="P29" i="1"/>
  <c r="O29" i="1"/>
  <c r="P27" i="1"/>
  <c r="Q31" i="1" l="1"/>
  <c r="P31" i="1"/>
  <c r="O31" i="1"/>
  <c r="Q30" i="1"/>
  <c r="P30" i="1"/>
  <c r="O30" i="1"/>
  <c r="Q29" i="1"/>
  <c r="Q28" i="1"/>
  <c r="P28" i="1"/>
  <c r="O28" i="1"/>
  <c r="Q27" i="1"/>
  <c r="O27" i="1"/>
  <c r="Q26" i="1"/>
  <c r="P26" i="1"/>
  <c r="O26" i="1"/>
  <c r="Q25" i="1"/>
  <c r="P25" i="1"/>
  <c r="O25" i="1"/>
  <c r="Q24" i="1"/>
  <c r="P24" i="1"/>
  <c r="O24" i="1"/>
  <c r="Q20" i="1"/>
  <c r="Q18" i="1"/>
  <c r="P18" i="1"/>
  <c r="O18" i="1"/>
  <c r="Q17" i="1"/>
  <c r="P17" i="1"/>
  <c r="O17" i="1"/>
  <c r="P16" i="1"/>
  <c r="O16" i="1"/>
  <c r="Q16" i="1"/>
  <c r="Q15" i="1"/>
  <c r="P15" i="1"/>
  <c r="O15" i="1"/>
  <c r="Q13" i="1"/>
  <c r="P13" i="1"/>
  <c r="O13" i="1"/>
  <c r="Q23" i="1"/>
  <c r="P23" i="1"/>
  <c r="O23" i="1"/>
  <c r="Q22" i="1"/>
  <c r="P22" i="1"/>
  <c r="O22" i="1"/>
  <c r="Q21" i="1"/>
  <c r="P21" i="1"/>
  <c r="O21" i="1"/>
  <c r="Q14" i="1"/>
  <c r="P14" i="1"/>
  <c r="O14" i="1"/>
  <c r="J8" i="1"/>
  <c r="Q36" i="1" l="1"/>
  <c r="P36" i="1"/>
  <c r="O36" i="1"/>
</calcChain>
</file>

<file path=xl/sharedStrings.xml><?xml version="1.0" encoding="utf-8"?>
<sst xmlns="http://schemas.openxmlformats.org/spreadsheetml/2006/main" count="78" uniqueCount="77">
  <si>
    <t>大会名：</t>
  </si>
  <si>
    <t>種目名</t>
  </si>
  <si>
    <t>種目ｺｰﾄﾞ</t>
    <phoneticPr fontId="2"/>
  </si>
  <si>
    <t>33</t>
    <phoneticPr fontId="2"/>
  </si>
  <si>
    <t>1</t>
    <phoneticPr fontId="2"/>
  </si>
  <si>
    <t>345</t>
    <phoneticPr fontId="2"/>
  </si>
  <si>
    <r>
      <t>記録</t>
    </r>
    <r>
      <rPr>
        <sz val="11"/>
        <color indexed="53"/>
        <rFont val="ＭＳ Ｐゴシック"/>
        <family val="3"/>
        <charset val="128"/>
      </rPr>
      <t>※</t>
    </r>
    <phoneticPr fontId="2"/>
  </si>
  <si>
    <t>種目名(自動入力）</t>
    <rPh sb="0" eb="2">
      <t>シュモク</t>
    </rPh>
    <rPh sb="2" eb="3">
      <t>メイ</t>
    </rPh>
    <rPh sb="4" eb="6">
      <t>ジドウ</t>
    </rPh>
    <rPh sb="6" eb="8">
      <t>ニュウリョク</t>
    </rPh>
    <phoneticPr fontId="2"/>
  </si>
  <si>
    <r>
      <t xml:space="preserve">性別 </t>
    </r>
    <r>
      <rPr>
        <sz val="11"/>
        <rFont val="ＭＳ Ｐゴシック"/>
        <family val="3"/>
        <charset val="128"/>
      </rPr>
      <t>男１　女２</t>
    </r>
    <rPh sb="3" eb="4">
      <t>オトコ</t>
    </rPh>
    <rPh sb="6" eb="7">
      <t>オンナ</t>
    </rPh>
    <phoneticPr fontId="2"/>
  </si>
  <si>
    <t>所属名</t>
    <rPh sb="0" eb="1">
      <t>メイ</t>
    </rPh>
    <phoneticPr fontId="2"/>
  </si>
  <si>
    <r>
      <t>DBコード</t>
    </r>
    <r>
      <rPr>
        <sz val="11"/>
        <rFont val="ＭＳ Ｐゴシック"/>
        <family val="3"/>
        <charset val="128"/>
      </rPr>
      <t>(記入不要）</t>
    </r>
    <rPh sb="6" eb="8">
      <t>キニュウ</t>
    </rPh>
    <rPh sb="8" eb="10">
      <t>フヨウ</t>
    </rPh>
    <phoneticPr fontId="2"/>
  </si>
  <si>
    <t>ﾋﾞｾﾞﾝ ｲﾁﾛｳ</t>
    <phoneticPr fontId="2"/>
  </si>
  <si>
    <t>種目ｺｰﾄﾞ</t>
    <phoneticPr fontId="2"/>
  </si>
  <si>
    <t>参加料</t>
    <rPh sb="0" eb="3">
      <t>サンカリョウ</t>
    </rPh>
    <phoneticPr fontId="2"/>
  </si>
  <si>
    <t>2</t>
    <phoneticPr fontId="2"/>
  </si>
  <si>
    <t>備前　一郎(2)</t>
    <rPh sb="0" eb="2">
      <t>ビゼン</t>
    </rPh>
    <rPh sb="3" eb="5">
      <t>イチロウ</t>
    </rPh>
    <phoneticPr fontId="2"/>
  </si>
  <si>
    <t>0001156</t>
    <phoneticPr fontId="2"/>
  </si>
  <si>
    <t>出場集計</t>
    <rPh sb="0" eb="2">
      <t>シュツジョウ</t>
    </rPh>
    <rPh sb="2" eb="4">
      <t>シュウケイ</t>
    </rPh>
    <phoneticPr fontId="2"/>
  </si>
  <si>
    <t>名前(児童、生徒、学生は学年、車椅子はクラス、半角で）</t>
    <rPh sb="3" eb="5">
      <t>ジドウ</t>
    </rPh>
    <rPh sb="6" eb="8">
      <t>セイト</t>
    </rPh>
    <rPh sb="9" eb="11">
      <t>ガクセイ</t>
    </rPh>
    <phoneticPr fontId="2"/>
  </si>
  <si>
    <t>学年
年齢</t>
    <rPh sb="3" eb="5">
      <t>ネンレイ</t>
    </rPh>
    <phoneticPr fontId="2"/>
  </si>
  <si>
    <t>登録№（小学生不要）</t>
    <phoneticPr fontId="2"/>
  </si>
  <si>
    <t>女子：</t>
    <rPh sb="0" eb="2">
      <t>ジョシ</t>
    </rPh>
    <phoneticPr fontId="2"/>
  </si>
  <si>
    <t>参加者数男子：</t>
    <rPh sb="0" eb="2">
      <t>サンカ</t>
    </rPh>
    <rPh sb="2" eb="3">
      <t>シャ</t>
    </rPh>
    <rPh sb="3" eb="4">
      <t>スウ</t>
    </rPh>
    <rPh sb="4" eb="6">
      <t>ダンシ</t>
    </rPh>
    <phoneticPr fontId="2"/>
  </si>
  <si>
    <t>学校・クラブ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</si>
  <si>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</si>
  <si>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</si>
  <si>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※記録(ベスト記録)はﾄﾗｯｸ競技7桁(12秒25=0001225)、ﾌｨｰﾙﾄﾞ競技5桁(4m80=00480)</t>
    <rPh sb="22" eb="23">
      <t>ビョウ</t>
    </rPh>
    <phoneticPr fontId="2"/>
  </si>
  <si>
    <t>00220</t>
    <phoneticPr fontId="2"/>
  </si>
  <si>
    <t>中学100m</t>
    <rPh sb="0" eb="2">
      <t>チュウガク</t>
    </rPh>
    <phoneticPr fontId="2"/>
  </si>
  <si>
    <t>03220</t>
    <phoneticPr fontId="2"/>
  </si>
  <si>
    <t>04220</t>
    <phoneticPr fontId="2"/>
  </si>
  <si>
    <t>中学男子110ｍH（0.914）</t>
    <rPh sb="0" eb="2">
      <t>チュウガク</t>
    </rPh>
    <rPh sb="2" eb="4">
      <t>ダンシ</t>
    </rPh>
    <phoneticPr fontId="2"/>
  </si>
  <si>
    <t>中学女子100ｍH（0.762）</t>
    <rPh sb="0" eb="2">
      <t>チュウガク</t>
    </rPh>
    <rPh sb="2" eb="4">
      <t>ジョシ</t>
    </rPh>
    <phoneticPr fontId="2"/>
  </si>
  <si>
    <t>中学走幅跳</t>
    <rPh sb="0" eb="2">
      <t>チュウガク</t>
    </rPh>
    <rPh sb="2" eb="3">
      <t>ソウ</t>
    </rPh>
    <rPh sb="3" eb="4">
      <t>ハバ</t>
    </rPh>
    <phoneticPr fontId="2"/>
  </si>
  <si>
    <t>07320</t>
    <phoneticPr fontId="2"/>
  </si>
  <si>
    <t>中学女砲丸投(2.721㎏)</t>
    <rPh sb="0" eb="2">
      <t>チュウガク</t>
    </rPh>
    <rPh sb="2" eb="3">
      <t>オンナ</t>
    </rPh>
    <phoneticPr fontId="2"/>
  </si>
  <si>
    <t>08320</t>
    <phoneticPr fontId="2"/>
  </si>
  <si>
    <t>08520</t>
    <phoneticPr fontId="2"/>
  </si>
  <si>
    <t>中学男砲丸投(5.000㎏)</t>
    <rPh sb="0" eb="2">
      <t>チュウガク</t>
    </rPh>
    <rPh sb="2" eb="3">
      <t>オトコ</t>
    </rPh>
    <phoneticPr fontId="2"/>
  </si>
  <si>
    <t>高校男砲丸投(6.000㎏)</t>
    <rPh sb="0" eb="1">
      <t>コウ</t>
    </rPh>
    <rPh sb="1" eb="2">
      <t>コウ</t>
    </rPh>
    <rPh sb="2" eb="3">
      <t>オトコ</t>
    </rPh>
    <phoneticPr fontId="2"/>
  </si>
  <si>
    <t>小高100m</t>
    <rPh sb="0" eb="1">
      <t>ショウ</t>
    </rPh>
    <rPh sb="1" eb="2">
      <t>コウ</t>
    </rPh>
    <phoneticPr fontId="2"/>
  </si>
  <si>
    <t>中学3000m</t>
    <rPh sb="0" eb="2">
      <t>チュウガク</t>
    </rPh>
    <phoneticPr fontId="2"/>
  </si>
  <si>
    <t>00230</t>
    <phoneticPr fontId="2"/>
  </si>
  <si>
    <t>00212</t>
    <phoneticPr fontId="2"/>
  </si>
  <si>
    <t>00612</t>
    <phoneticPr fontId="2"/>
  </si>
  <si>
    <t>小高女800m</t>
    <rPh sb="0" eb="1">
      <t>ショウ</t>
    </rPh>
    <rPh sb="1" eb="2">
      <t>コウ</t>
    </rPh>
    <rPh sb="2" eb="3">
      <t>ジョ</t>
    </rPh>
    <phoneticPr fontId="2"/>
  </si>
  <si>
    <t>00712</t>
    <phoneticPr fontId="2"/>
  </si>
  <si>
    <t>小高男1000m</t>
    <rPh sb="0" eb="1">
      <t>ショウ</t>
    </rPh>
    <rPh sb="1" eb="2">
      <t>コウ</t>
    </rPh>
    <rPh sb="2" eb="3">
      <t>オトコ</t>
    </rPh>
    <phoneticPr fontId="2"/>
  </si>
  <si>
    <t>高校女円盤投(1.000㎏)</t>
    <rPh sb="0" eb="1">
      <t>コウ</t>
    </rPh>
    <rPh sb="1" eb="2">
      <t>コウ</t>
    </rPh>
    <rPh sb="2" eb="3">
      <t>ジョ</t>
    </rPh>
    <rPh sb="3" eb="5">
      <t>エンバン</t>
    </rPh>
    <phoneticPr fontId="2"/>
  </si>
  <si>
    <t>高校女砲丸投(4.000㎏)</t>
    <rPh sb="0" eb="1">
      <t>コウ</t>
    </rPh>
    <rPh sb="1" eb="2">
      <t>コウ</t>
    </rPh>
    <rPh sb="2" eb="3">
      <t>ジョ</t>
    </rPh>
    <phoneticPr fontId="2"/>
  </si>
  <si>
    <t>高校男円盤投(1.750㎏)</t>
    <rPh sb="0" eb="1">
      <t>コウ</t>
    </rPh>
    <rPh sb="1" eb="2">
      <t>コウ</t>
    </rPh>
    <rPh sb="2" eb="3">
      <t>オトコ</t>
    </rPh>
    <rPh sb="3" eb="6">
      <t>エンバンナゲ</t>
    </rPh>
    <phoneticPr fontId="2"/>
  </si>
  <si>
    <t>08840</t>
    <phoneticPr fontId="2"/>
  </si>
  <si>
    <t>08740</t>
    <phoneticPr fontId="2"/>
  </si>
  <si>
    <t>中学女円盤投(1.000㎏)</t>
    <rPh sb="0" eb="2">
      <t>チュウガク</t>
    </rPh>
    <rPh sb="2" eb="3">
      <t>ジョ</t>
    </rPh>
    <rPh sb="3" eb="6">
      <t>エンバンナゲ</t>
    </rPh>
    <phoneticPr fontId="2"/>
  </si>
  <si>
    <t>中学男円盤投(1.500㎏)</t>
    <rPh sb="0" eb="2">
      <t>チュウガク</t>
    </rPh>
    <rPh sb="2" eb="3">
      <t>オトコ</t>
    </rPh>
    <rPh sb="3" eb="6">
      <t>エンバンナゲ</t>
    </rPh>
    <phoneticPr fontId="2"/>
  </si>
  <si>
    <t>09620</t>
    <phoneticPr fontId="2"/>
  </si>
  <si>
    <t>08820</t>
    <phoneticPr fontId="2"/>
  </si>
  <si>
    <t>08240</t>
    <phoneticPr fontId="2"/>
  </si>
  <si>
    <t>08440</t>
    <phoneticPr fontId="2"/>
  </si>
  <si>
    <t>07330</t>
    <phoneticPr fontId="2"/>
  </si>
  <si>
    <t>01020</t>
    <phoneticPr fontId="2"/>
  </si>
  <si>
    <t>小学生500円、中学生600円、高校生・一般800円</t>
    <rPh sb="0" eb="1">
      <t>ショウ</t>
    </rPh>
    <rPh sb="6" eb="7">
      <t>エン</t>
    </rPh>
    <rPh sb="8" eb="11">
      <t>チュウガクセイ</t>
    </rPh>
    <rPh sb="14" eb="15">
      <t>エン</t>
    </rPh>
    <rPh sb="20" eb="22">
      <t>イッパン</t>
    </rPh>
    <rPh sb="25" eb="26">
      <t>エン</t>
    </rPh>
    <phoneticPr fontId="2"/>
  </si>
  <si>
    <t>01130</t>
    <phoneticPr fontId="2"/>
  </si>
  <si>
    <t>岡山33兵庫28など</t>
    <rPh sb="0" eb="2">
      <t>オカヤマ</t>
    </rPh>
    <rPh sb="4" eb="6">
      <t>ヒョウゴ</t>
    </rPh>
    <phoneticPr fontId="2"/>
  </si>
  <si>
    <t>01030</t>
    <phoneticPr fontId="2"/>
  </si>
  <si>
    <t>01060</t>
    <phoneticPr fontId="2"/>
  </si>
  <si>
    <t>00250</t>
    <phoneticPr fontId="2"/>
  </si>
  <si>
    <t>車椅子100ｍ</t>
    <rPh sb="0" eb="3">
      <t>クルマイス</t>
    </rPh>
    <phoneticPr fontId="2"/>
  </si>
  <si>
    <t>記入例</t>
    <rPh sb="0" eb="3">
      <t>キニュウレイ</t>
    </rPh>
    <phoneticPr fontId="2"/>
  </si>
  <si>
    <t>視覚障がい3000ｍ</t>
    <rPh sb="0" eb="2">
      <t>シカク</t>
    </rPh>
    <rPh sb="2" eb="3">
      <t>ショウ</t>
    </rPh>
    <phoneticPr fontId="2"/>
  </si>
  <si>
    <t>第８回谷三三五記念陸上競技大会申込一覧</t>
    <rPh sb="0" eb="1">
      <t>ダイ</t>
    </rPh>
    <rPh sb="2" eb="3">
      <t>カイ</t>
    </rPh>
    <rPh sb="3" eb="4">
      <t>タニ</t>
    </rPh>
    <rPh sb="4" eb="5">
      <t>サン</t>
    </rPh>
    <rPh sb="5" eb="7">
      <t>サンゴ</t>
    </rPh>
    <rPh sb="7" eb="9">
      <t>キネン</t>
    </rPh>
    <rPh sb="9" eb="11">
      <t>キョウギ</t>
    </rPh>
    <rPh sb="13" eb="15">
      <t>タイカイ</t>
    </rPh>
    <phoneticPr fontId="2"/>
  </si>
  <si>
    <t>第８回谷三三五記念陸上競技大会</t>
    <rPh sb="0" eb="1">
      <t>ダイ</t>
    </rPh>
    <rPh sb="2" eb="3">
      <t>カイ</t>
    </rPh>
    <rPh sb="3" eb="4">
      <t>タニ</t>
    </rPh>
    <rPh sb="4" eb="5">
      <t>サン</t>
    </rPh>
    <rPh sb="5" eb="7">
      <t>サンゴ</t>
    </rPh>
    <rPh sb="7" eb="9">
      <t>キネン</t>
    </rPh>
    <rPh sb="9" eb="11">
      <t>リクジョウ</t>
    </rPh>
    <rPh sb="11" eb="13">
      <t>キョウギ</t>
    </rPh>
    <rPh sb="13" eb="15">
      <t>タイカイ</t>
    </rPh>
    <phoneticPr fontId="2"/>
  </si>
  <si>
    <t>フリガナ（半角）</t>
    <rPh sb="5" eb="7">
      <t>ハンカク</t>
    </rPh>
    <phoneticPr fontId="2"/>
  </si>
  <si>
    <t>高校生以上100m</t>
    <rPh sb="0" eb="2">
      <t>コウコウ</t>
    </rPh>
    <rPh sb="2" eb="3">
      <t>セイ</t>
    </rPh>
    <rPh sb="3" eb="5">
      <t>イジョウ</t>
    </rPh>
    <phoneticPr fontId="2"/>
  </si>
  <si>
    <t>高校生以上女3000m</t>
    <rPh sb="0" eb="2">
      <t>コウコウ</t>
    </rPh>
    <rPh sb="2" eb="3">
      <t>セイ</t>
    </rPh>
    <rPh sb="3" eb="5">
      <t>イジョウ</t>
    </rPh>
    <rPh sb="5" eb="6">
      <t>ジョ</t>
    </rPh>
    <phoneticPr fontId="2"/>
  </si>
  <si>
    <t>高校生以上男5000m</t>
    <rPh sb="0" eb="2">
      <t>コウコウ</t>
    </rPh>
    <rPh sb="2" eb="3">
      <t>セイ</t>
    </rPh>
    <rPh sb="3" eb="5">
      <t>イジョウ</t>
    </rPh>
    <rPh sb="5" eb="6">
      <t>オトコ</t>
    </rPh>
    <phoneticPr fontId="2"/>
  </si>
  <si>
    <t>高校生以上走幅跳</t>
    <rPh sb="0" eb="2">
      <t>コウコウ</t>
    </rPh>
    <rPh sb="2" eb="3">
      <t>セイ</t>
    </rPh>
    <rPh sb="3" eb="5">
      <t>イジョウ</t>
    </rPh>
    <rPh sb="5" eb="6">
      <t>ソウ</t>
    </rPh>
    <rPh sb="6" eb="7">
      <t>ハバ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</si>
</sst>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&quot;円&quot;"/>
    <numFmt numFmtId="178" formatCode="0_);[Red]\(0\)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1"/>
      <color indexed="12"/>
      <name val="ＭＳ ゴシック"/>
      <family val="3"/>
      <charset val="128"/>
    </font>
    <font>
      <b/>
      <sz val="11"/>
      <color indexed="53"/>
      <name val="ＭＳ ゴシック"/>
      <family val="3"/>
      <charset val="128"/>
    </font>
    <font>
      <sz val="11"/>
      <color indexed="53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rgb="FFCCFFFF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64"/>
      </top>
      <bottom style="thin">
        <color indexed="12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12"/>
      </bottom>
      <diagonal/>
    </border>
    <border>
      <left style="thin">
        <color indexed="12"/>
      </left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3">
    <xf numFmtId="0" fontId="0" fillId="0" borderId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10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" fillId="4" borderId="11" applyNumberFormat="0" applyFon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3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33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3" applyNumberFormat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03">
    <xf numFmtId="0" fontId="0" fillId="0" borderId="0" xfId="0"/>
    <xf numFmtId="49" fontId="4" fillId="0" borderId="0" xfId="0" applyNumberFormat="1" applyFont="1"/>
    <xf numFmtId="49" fontId="4" fillId="0" borderId="1" xfId="0" applyNumberFormat="1" applyFont="1" applyBorder="1"/>
    <xf numFmtId="49" fontId="4" fillId="0" borderId="0" xfId="0" quotePrefix="1" applyNumberFormat="1" applyFont="1" applyAlignment="1">
      <alignment horizontal="left"/>
    </xf>
    <xf numFmtId="49" fontId="4" fillId="0" borderId="0" xfId="0" quotePrefix="1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49" fontId="3" fillId="0" borderId="0" xfId="0" applyNumberFormat="1" applyFont="1"/>
    <xf numFmtId="49" fontId="4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6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left"/>
    </xf>
    <xf numFmtId="49" fontId="8" fillId="0" borderId="3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4" fillId="2" borderId="4" xfId="0" applyFont="1" applyFill="1" applyBorder="1" applyAlignment="1" applyProtection="1">
      <alignment horizontal="center"/>
      <protection locked="0"/>
    </xf>
    <xf numFmtId="177" fontId="4" fillId="0" borderId="1" xfId="0" applyNumberFormat="1" applyFont="1" applyBorder="1"/>
    <xf numFmtId="49" fontId="4" fillId="0" borderId="1" xfId="0" applyNumberFormat="1" applyFont="1" applyBorder="1" applyAlignment="1">
      <alignment shrinkToFit="1"/>
    </xf>
    <xf numFmtId="49" fontId="4" fillId="0" borderId="1" xfId="0" applyNumberFormat="1" applyFont="1" applyBorder="1" applyAlignment="1">
      <alignment horizontal="left" shrinkToFit="1"/>
    </xf>
    <xf numFmtId="49" fontId="7" fillId="0" borderId="0" xfId="0" applyNumberFormat="1" applyFont="1"/>
    <xf numFmtId="49" fontId="4" fillId="0" borderId="0" xfId="0" applyNumberFormat="1" applyFont="1" applyAlignment="1">
      <alignment shrinkToFit="1"/>
    </xf>
    <xf numFmtId="49" fontId="4" fillId="2" borderId="0" xfId="0" applyNumberFormat="1" applyFont="1" applyFill="1" applyProtection="1">
      <protection locked="0"/>
    </xf>
    <xf numFmtId="49" fontId="4" fillId="0" borderId="5" xfId="0" applyNumberFormat="1" applyFont="1" applyBorder="1"/>
    <xf numFmtId="49" fontId="4" fillId="0" borderId="2" xfId="0" applyNumberFormat="1" applyFont="1" applyBorder="1"/>
    <xf numFmtId="49" fontId="4" fillId="0" borderId="0" xfId="0" applyNumberFormat="1" applyFont="1" applyAlignment="1">
      <alignment horizontal="center"/>
    </xf>
    <xf numFmtId="0" fontId="4" fillId="0" borderId="4" xfId="0" applyFont="1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left" shrinkToFit="1"/>
    </xf>
    <xf numFmtId="0" fontId="4" fillId="0" borderId="0" xfId="0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177" fontId="4" fillId="0" borderId="0" xfId="0" applyNumberFormat="1" applyFont="1"/>
    <xf numFmtId="176" fontId="4" fillId="0" borderId="0" xfId="0" applyNumberFormat="1" applyFont="1" applyAlignment="1">
      <alignment horizontal="center"/>
    </xf>
    <xf numFmtId="0" fontId="4" fillId="2" borderId="0" xfId="0" applyFont="1" applyFill="1" applyAlignment="1" applyProtection="1">
      <alignment horizontal="center"/>
      <protection locked="0"/>
    </xf>
    <xf numFmtId="49" fontId="3" fillId="0" borderId="6" xfId="0" quotePrefix="1" applyNumberFormat="1" applyFont="1" applyBorder="1" applyAlignment="1">
      <alignment horizontal="left"/>
    </xf>
    <xf numFmtId="49" fontId="0" fillId="0" borderId="6" xfId="0" applyNumberFormat="1" applyBorder="1"/>
    <xf numFmtId="0" fontId="4" fillId="0" borderId="7" xfId="0" applyFont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49" fontId="4" fillId="0" borderId="1" xfId="0" applyNumberFormat="1" applyFont="1" applyBorder="1" applyAlignment="1">
      <alignment vertical="center" shrinkToFit="1"/>
    </xf>
    <xf numFmtId="49" fontId="0" fillId="0" borderId="0" xfId="0" applyNumberFormat="1"/>
    <xf numFmtId="49" fontId="4" fillId="0" borderId="0" xfId="0" quotePrefix="1" applyNumberFormat="1" applyFont="1" applyAlignment="1" applyProtection="1">
      <alignment horizontal="center" vertical="center"/>
      <protection locked="0"/>
    </xf>
    <xf numFmtId="1" fontId="5" fillId="0" borderId="0" xfId="0" quotePrefix="1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8" fillId="0" borderId="5" xfId="0" applyNumberFormat="1" applyFont="1" applyBorder="1" applyAlignment="1">
      <alignment horizontal="left"/>
    </xf>
    <xf numFmtId="49" fontId="4" fillId="0" borderId="0" xfId="0" applyNumberFormat="1" applyFont="1" applyAlignment="1" applyProtection="1">
      <alignment vertical="center"/>
      <protection locked="0"/>
    </xf>
    <xf numFmtId="49" fontId="4" fillId="0" borderId="19" xfId="0" applyNumberFormat="1" applyFont="1" applyBorder="1" applyAlignment="1" applyProtection="1">
      <alignment horizontal="center"/>
      <protection locked="0"/>
    </xf>
    <xf numFmtId="49" fontId="4" fillId="0" borderId="19" xfId="0" applyNumberFormat="1" applyFont="1" applyBorder="1" applyAlignment="1" applyProtection="1">
      <alignment horizontal="left"/>
      <protection locked="0"/>
    </xf>
    <xf numFmtId="49" fontId="4" fillId="0" borderId="19" xfId="0" applyNumberFormat="1" applyFont="1" applyBorder="1"/>
    <xf numFmtId="0" fontId="6" fillId="5" borderId="19" xfId="0" applyFont="1" applyFill="1" applyBorder="1" applyAlignment="1">
      <alignment horizontal="left" vertical="center" shrinkToFit="1"/>
    </xf>
    <xf numFmtId="49" fontId="29" fillId="0" borderId="19" xfId="0" applyNumberFormat="1" applyFont="1" applyBorder="1" applyAlignment="1" applyProtection="1">
      <alignment horizontal="center"/>
      <protection locked="0"/>
    </xf>
    <xf numFmtId="49" fontId="4" fillId="35" borderId="19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wrapText="1"/>
    </xf>
    <xf numFmtId="49" fontId="4" fillId="0" borderId="19" xfId="0" applyNumberFormat="1" applyFont="1" applyBorder="1" applyAlignment="1">
      <alignment horizontal="left" shrinkToFit="1"/>
    </xf>
    <xf numFmtId="49" fontId="8" fillId="0" borderId="3" xfId="0" applyNumberFormat="1" applyFont="1" applyBorder="1" applyAlignment="1">
      <alignment horizontal="center"/>
    </xf>
    <xf numFmtId="49" fontId="30" fillId="0" borderId="20" xfId="0" applyNumberFormat="1" applyFont="1" applyBorder="1" applyAlignment="1">
      <alignment horizontal="left"/>
    </xf>
    <xf numFmtId="49" fontId="30" fillId="0" borderId="20" xfId="0" applyNumberFormat="1" applyFont="1" applyBorder="1" applyAlignment="1">
      <alignment horizontal="center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49" fontId="4" fillId="35" borderId="19" xfId="0" applyNumberFormat="1" applyFont="1" applyFill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vertical="center" wrapText="1"/>
      <protection locked="0"/>
    </xf>
    <xf numFmtId="49" fontId="4" fillId="0" borderId="19" xfId="0" applyNumberFormat="1" applyFont="1" applyBorder="1" applyAlignment="1" applyProtection="1">
      <alignment horizontal="left" vertical="center" wrapText="1"/>
      <protection locked="0"/>
    </xf>
    <xf numFmtId="178" fontId="4" fillId="0" borderId="19" xfId="0" applyNumberFormat="1" applyFont="1" applyBorder="1" applyAlignment="1" applyProtection="1">
      <alignment horizontal="center"/>
      <protection locked="0"/>
    </xf>
    <xf numFmtId="49" fontId="30" fillId="0" borderId="21" xfId="0" applyNumberFormat="1" applyFont="1" applyBorder="1" applyAlignment="1">
      <alignment horizontal="left"/>
    </xf>
    <xf numFmtId="49" fontId="30" fillId="0" borderId="21" xfId="0" applyNumberFormat="1" applyFont="1" applyBorder="1" applyAlignment="1">
      <alignment horizontal="center"/>
    </xf>
    <xf numFmtId="49" fontId="30" fillId="0" borderId="21" xfId="0" applyNumberFormat="1" applyFont="1" applyBorder="1"/>
    <xf numFmtId="49" fontId="4" fillId="0" borderId="22" xfId="0" applyNumberFormat="1" applyFont="1" applyBorder="1" applyAlignment="1" applyProtection="1">
      <alignment horizontal="left"/>
      <protection locked="0"/>
    </xf>
    <xf numFmtId="49" fontId="4" fillId="0" borderId="22" xfId="0" applyNumberFormat="1" applyFont="1" applyBorder="1" applyAlignment="1" applyProtection="1">
      <alignment horizontal="center"/>
      <protection locked="0"/>
    </xf>
    <xf numFmtId="49" fontId="4" fillId="0" borderId="22" xfId="0" applyNumberFormat="1" applyFont="1" applyBorder="1"/>
    <xf numFmtId="49" fontId="29" fillId="0" borderId="22" xfId="0" applyNumberFormat="1" applyFont="1" applyBorder="1" applyAlignment="1" applyProtection="1">
      <alignment horizontal="center"/>
      <protection locked="0"/>
    </xf>
    <xf numFmtId="0" fontId="6" fillId="5" borderId="23" xfId="0" applyFont="1" applyFill="1" applyBorder="1" applyAlignment="1">
      <alignment horizontal="left" vertical="center" shrinkToFit="1"/>
    </xf>
    <xf numFmtId="0" fontId="6" fillId="5" borderId="24" xfId="0" applyFont="1" applyFill="1" applyBorder="1" applyAlignment="1">
      <alignment horizontal="left" vertical="center" shrinkToFit="1"/>
    </xf>
    <xf numFmtId="0" fontId="31" fillId="36" borderId="25" xfId="0" applyFont="1" applyFill="1" applyBorder="1" applyAlignment="1">
      <alignment horizontal="left" vertical="center" shrinkToFit="1"/>
    </xf>
    <xf numFmtId="49" fontId="0" fillId="0" borderId="26" xfId="0" applyNumberFormat="1" applyBorder="1"/>
    <xf numFmtId="49" fontId="0" fillId="0" borderId="26" xfId="0" quotePrefix="1" applyNumberFormat="1" applyBorder="1" applyAlignment="1">
      <alignment horizontal="left" wrapText="1"/>
    </xf>
    <xf numFmtId="49" fontId="0" fillId="0" borderId="26" xfId="0" applyNumberFormat="1" applyBorder="1" applyAlignment="1">
      <alignment wrapText="1"/>
    </xf>
    <xf numFmtId="49" fontId="11" fillId="0" borderId="26" xfId="0" applyNumberFormat="1" applyFont="1" applyBorder="1" applyAlignment="1">
      <alignment wrapText="1"/>
    </xf>
    <xf numFmtId="49" fontId="0" fillId="0" borderId="26" xfId="0" quotePrefix="1" applyNumberFormat="1" applyBorder="1" applyAlignment="1">
      <alignment horizontal="left"/>
    </xf>
    <xf numFmtId="49" fontId="0" fillId="0" borderId="26" xfId="0" quotePrefix="1" applyNumberFormat="1" applyBorder="1" applyAlignment="1">
      <alignment horizontal="left" wrapText="1" shrinkToFit="1"/>
    </xf>
    <xf numFmtId="49" fontId="0" fillId="0" borderId="27" xfId="0" applyNumberFormat="1" applyBorder="1"/>
    <xf numFmtId="49" fontId="0" fillId="5" borderId="27" xfId="0" applyNumberFormat="1" applyFill="1" applyBorder="1" applyAlignment="1">
      <alignment shrinkToFit="1"/>
    </xf>
    <xf numFmtId="176" fontId="30" fillId="0" borderId="28" xfId="0" applyNumberFormat="1" applyFont="1" applyBorder="1" applyAlignment="1">
      <alignment horizontal="left"/>
    </xf>
    <xf numFmtId="49" fontId="30" fillId="0" borderId="29" xfId="0" applyNumberFormat="1" applyFont="1" applyBorder="1" applyAlignment="1">
      <alignment horizontal="left"/>
    </xf>
    <xf numFmtId="49" fontId="30" fillId="0" borderId="29" xfId="0" applyNumberFormat="1" applyFont="1" applyBorder="1" applyAlignment="1">
      <alignment horizontal="center"/>
    </xf>
    <xf numFmtId="49" fontId="30" fillId="0" borderId="29" xfId="0" applyNumberFormat="1" applyFont="1" applyBorder="1"/>
    <xf numFmtId="49" fontId="31" fillId="36" borderId="30" xfId="0" applyNumberFormat="1" applyFont="1" applyFill="1" applyBorder="1" applyAlignment="1">
      <alignment horizontal="left" vertical="center" shrinkToFit="1"/>
    </xf>
    <xf numFmtId="49" fontId="30" fillId="0" borderId="31" xfId="0" applyNumberFormat="1" applyFont="1" applyBorder="1" applyAlignment="1">
      <alignment vertical="center"/>
    </xf>
    <xf numFmtId="176" fontId="4" fillId="0" borderId="32" xfId="0" applyNumberFormat="1" applyFont="1" applyBorder="1" applyAlignment="1" applyProtection="1">
      <alignment horizontal="left"/>
      <protection locked="0"/>
    </xf>
    <xf numFmtId="49" fontId="4" fillId="0" borderId="33" xfId="0" quotePrefix="1" applyNumberFormat="1" applyFont="1" applyBorder="1" applyAlignment="1" applyProtection="1">
      <alignment vertical="center"/>
      <protection locked="0"/>
    </xf>
    <xf numFmtId="49" fontId="4" fillId="0" borderId="33" xfId="0" applyNumberFormat="1" applyFont="1" applyBorder="1" applyAlignment="1" applyProtection="1">
      <alignment vertical="center"/>
      <protection locked="0"/>
    </xf>
    <xf numFmtId="49" fontId="5" fillId="0" borderId="34" xfId="0" applyNumberFormat="1" applyFont="1" applyBorder="1" applyAlignment="1">
      <alignment horizontal="left"/>
    </xf>
    <xf numFmtId="49" fontId="5" fillId="0" borderId="35" xfId="0" applyNumberFormat="1" applyFont="1" applyBorder="1" applyAlignment="1">
      <alignment horizontal="left"/>
    </xf>
    <xf numFmtId="49" fontId="30" fillId="0" borderId="33" xfId="0" applyNumberFormat="1" applyFont="1" applyBorder="1" applyAlignment="1">
      <alignment vertical="center"/>
    </xf>
    <xf numFmtId="176" fontId="4" fillId="0" borderId="36" xfId="0" applyNumberFormat="1" applyFont="1" applyBorder="1" applyAlignment="1" applyProtection="1">
      <alignment horizontal="left"/>
      <protection locked="0"/>
    </xf>
    <xf numFmtId="49" fontId="4" fillId="0" borderId="37" xfId="0" applyNumberFormat="1" applyFont="1" applyBorder="1" applyAlignment="1" applyProtection="1">
      <alignment horizontal="left"/>
      <protection locked="0"/>
    </xf>
    <xf numFmtId="49" fontId="4" fillId="0" borderId="37" xfId="0" applyNumberFormat="1" applyFont="1" applyBorder="1" applyAlignment="1" applyProtection="1">
      <alignment horizontal="center"/>
      <protection locked="0"/>
    </xf>
    <xf numFmtId="49" fontId="4" fillId="0" borderId="37" xfId="0" applyNumberFormat="1" applyFont="1" applyBorder="1"/>
    <xf numFmtId="0" fontId="6" fillId="5" borderId="38" xfId="0" applyFont="1" applyFill="1" applyBorder="1" applyAlignment="1">
      <alignment horizontal="left" vertical="center" shrinkToFit="1"/>
    </xf>
    <xf numFmtId="49" fontId="4" fillId="0" borderId="39" xfId="0" quotePrefix="1" applyNumberFormat="1" applyFont="1" applyBorder="1" applyAlignment="1" applyProtection="1">
      <alignment vertical="center"/>
      <protection locked="0"/>
    </xf>
    <xf numFmtId="49" fontId="30" fillId="0" borderId="19" xfId="0" applyNumberFormat="1" applyFont="1" applyBorder="1" applyAlignment="1">
      <alignment horizontal="left"/>
    </xf>
    <xf numFmtId="176" fontId="4" fillId="0" borderId="40" xfId="0" applyNumberFormat="1" applyFont="1" applyBorder="1" applyAlignment="1" applyProtection="1">
      <alignment horizontal="left"/>
      <protection locked="0"/>
    </xf>
    <xf numFmtId="49" fontId="4" fillId="0" borderId="41" xfId="0" applyNumberFormat="1" applyFont="1" applyBorder="1"/>
    <xf numFmtId="49" fontId="30" fillId="0" borderId="42" xfId="0" applyNumberFormat="1" applyFont="1" applyBorder="1"/>
    <xf numFmtId="0" fontId="31" fillId="36" borderId="43" xfId="0" applyFont="1" applyFill="1" applyBorder="1" applyAlignment="1">
      <alignment horizontal="left" vertical="center" shrinkToFit="1"/>
    </xf>
    <xf numFmtId="0" fontId="31" fillId="36" borderId="19" xfId="0" applyFont="1" applyFill="1" applyBorder="1" applyAlignment="1">
      <alignment horizontal="left" vertical="center" shrinkToFit="1"/>
    </xf>
    <xf numFmtId="49" fontId="4" fillId="2" borderId="0" xfId="0" applyNumberFormat="1" applyFont="1" applyFill="1" applyAlignment="1" applyProtection="1">
      <alignment horizontal="left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5"/>
  <sheetViews>
    <sheetView showGridLines="0" tabSelected="1" zoomScaleNormal="100" zoomScaleSheetLayoutView="100" workbookViewId="0">
      <selection activeCell="G15" sqref="G15"/>
    </sheetView>
  </sheetViews>
  <sheetFormatPr defaultRowHeight="13.5" x14ac:dyDescent="0.15"/>
  <cols>
    <col min="1" max="1" width="10.75" style="1" customWidth="1"/>
    <col min="2" max="2" width="18" style="1" customWidth="1"/>
    <col min="3" max="3" width="15.5" style="1" customWidth="1"/>
    <col min="4" max="4" width="4" style="1" customWidth="1"/>
    <col min="5" max="5" width="5" style="1" customWidth="1"/>
    <col min="6" max="6" width="5.125" style="1" customWidth="1"/>
    <col min="7" max="7" width="14.5" style="1" customWidth="1"/>
    <col min="8" max="8" width="6.875" style="1" customWidth="1"/>
    <col min="9" max="9" width="9.625" style="1" customWidth="1"/>
    <col min="10" max="10" width="19.5" style="1" customWidth="1"/>
    <col min="11" max="11" width="12.625" style="1" customWidth="1"/>
    <col min="12" max="12" width="10" style="1" customWidth="1"/>
    <col min="13" max="13" width="7.75" style="1" customWidth="1"/>
    <col min="14" max="14" width="16.875" style="1" customWidth="1"/>
    <col min="15" max="16" width="8.375" style="1" customWidth="1"/>
    <col min="17" max="17" width="8.25" style="1" customWidth="1"/>
    <col min="18" max="16384" width="9" style="1"/>
  </cols>
  <sheetData>
    <row r="1" spans="1:17" x14ac:dyDescent="0.15">
      <c r="A1" s="3" t="s">
        <v>70</v>
      </c>
      <c r="I1" s="1" t="s">
        <v>13</v>
      </c>
      <c r="J1" s="14"/>
    </row>
    <row r="2" spans="1:17" x14ac:dyDescent="0.15">
      <c r="B2" s="3"/>
      <c r="H2" s="17" t="s">
        <v>61</v>
      </c>
      <c r="J2" s="27"/>
    </row>
    <row r="3" spans="1:17" x14ac:dyDescent="0.15">
      <c r="J3" s="3"/>
      <c r="K3" s="22"/>
      <c r="L3" s="22"/>
    </row>
    <row r="4" spans="1:17" x14ac:dyDescent="0.15">
      <c r="A4" s="4" t="s">
        <v>0</v>
      </c>
      <c r="B4" s="102" t="s">
        <v>71</v>
      </c>
      <c r="C4" s="102"/>
      <c r="D4" s="102"/>
      <c r="E4" s="102"/>
      <c r="F4" s="102"/>
      <c r="G4" s="7"/>
      <c r="H4" s="4" t="s">
        <v>23</v>
      </c>
      <c r="I4" s="19"/>
      <c r="J4" s="26"/>
      <c r="K4" s="22"/>
      <c r="L4" s="22"/>
    </row>
    <row r="5" spans="1:17" x14ac:dyDescent="0.15">
      <c r="F5" s="5" t="s">
        <v>22</v>
      </c>
      <c r="G5" s="13">
        <f>COUNTIF(E11:E164,"1")</f>
        <v>0</v>
      </c>
    </row>
    <row r="6" spans="1:17" x14ac:dyDescent="0.15">
      <c r="F6" s="5" t="s">
        <v>21</v>
      </c>
      <c r="G6" s="13">
        <f>COUNTIF(E11:E164,"2")</f>
        <v>0</v>
      </c>
      <c r="I6" s="6"/>
    </row>
    <row r="7" spans="1:17" ht="14.25" thickBot="1" x14ac:dyDescent="0.2">
      <c r="F7" s="5"/>
      <c r="G7" s="25"/>
      <c r="I7" s="6"/>
    </row>
    <row r="8" spans="1:17" ht="14.25" thickBot="1" x14ac:dyDescent="0.2">
      <c r="A8" s="52" t="s">
        <v>68</v>
      </c>
      <c r="B8" s="11" t="s">
        <v>15</v>
      </c>
      <c r="C8" s="11" t="s">
        <v>11</v>
      </c>
      <c r="D8" s="11" t="s">
        <v>14</v>
      </c>
      <c r="E8" s="11" t="s">
        <v>4</v>
      </c>
      <c r="F8" s="11" t="s">
        <v>3</v>
      </c>
      <c r="G8" s="11"/>
      <c r="H8" s="11" t="s">
        <v>5</v>
      </c>
      <c r="I8" s="11" t="s">
        <v>27</v>
      </c>
      <c r="J8" s="12" t="str">
        <f>VLOOKUP(I8,$M$12:$N$34,2,FALSE)</f>
        <v>中学100m</v>
      </c>
      <c r="K8" s="42" t="s">
        <v>16</v>
      </c>
      <c r="L8" s="8"/>
    </row>
    <row r="9" spans="1:17" ht="14.25" thickBot="1" x14ac:dyDescent="0.2">
      <c r="A9" s="8"/>
      <c r="B9" s="8"/>
      <c r="C9" s="8" t="s">
        <v>26</v>
      </c>
      <c r="F9" s="8"/>
      <c r="G9" s="10"/>
      <c r="H9" s="8"/>
      <c r="J9" s="9"/>
    </row>
    <row r="10" spans="1:17" ht="60" customHeight="1" thickBot="1" x14ac:dyDescent="0.2">
      <c r="A10" s="71" t="s">
        <v>10</v>
      </c>
      <c r="B10" s="72" t="s">
        <v>18</v>
      </c>
      <c r="C10" s="70" t="s">
        <v>72</v>
      </c>
      <c r="D10" s="72" t="s">
        <v>19</v>
      </c>
      <c r="E10" s="72" t="s">
        <v>8</v>
      </c>
      <c r="F10" s="73" t="s">
        <v>63</v>
      </c>
      <c r="G10" s="74" t="s">
        <v>9</v>
      </c>
      <c r="H10" s="75" t="s">
        <v>20</v>
      </c>
      <c r="I10" s="76" t="s">
        <v>2</v>
      </c>
      <c r="J10" s="77" t="s">
        <v>7</v>
      </c>
      <c r="K10" s="70" t="s">
        <v>6</v>
      </c>
      <c r="L10" s="37"/>
    </row>
    <row r="11" spans="1:17" ht="14.25" thickBot="1" x14ac:dyDescent="0.2">
      <c r="A11" s="78"/>
      <c r="B11" s="79"/>
      <c r="C11" s="79"/>
      <c r="D11" s="80"/>
      <c r="E11" s="80"/>
      <c r="F11" s="80"/>
      <c r="G11" s="79"/>
      <c r="H11" s="80"/>
      <c r="I11" s="81"/>
      <c r="J11" s="82" t="str">
        <f t="shared" ref="J11" si="0">IF(I11="","",VLOOKUP(I11,$M$13:$N$65,2,FALSE))</f>
        <v/>
      </c>
      <c r="K11" s="83"/>
      <c r="L11" s="38"/>
      <c r="P11" s="20" t="s">
        <v>17</v>
      </c>
      <c r="Q11" s="21"/>
    </row>
    <row r="12" spans="1:17" x14ac:dyDescent="0.15">
      <c r="A12" s="84"/>
      <c r="B12" s="63"/>
      <c r="C12" s="63"/>
      <c r="D12" s="64"/>
      <c r="E12" s="64"/>
      <c r="F12" s="64"/>
      <c r="G12" s="63"/>
      <c r="H12" s="64"/>
      <c r="I12" s="65"/>
      <c r="J12" s="47" t="str">
        <f t="shared" ref="J12:J13" si="1">IF(I12="","",VLOOKUP(I12,$M$13:$N$36,2,FALSE))</f>
        <v/>
      </c>
      <c r="K12" s="85"/>
      <c r="L12" s="38"/>
      <c r="M12" s="30" t="s">
        <v>12</v>
      </c>
      <c r="N12" s="31" t="s">
        <v>1</v>
      </c>
      <c r="P12" s="22" t="s">
        <v>24</v>
      </c>
      <c r="Q12" s="22" t="s">
        <v>25</v>
      </c>
    </row>
    <row r="13" spans="1:17" x14ac:dyDescent="0.15">
      <c r="A13" s="84"/>
      <c r="B13" s="45"/>
      <c r="C13" s="45"/>
      <c r="D13" s="44"/>
      <c r="E13" s="44"/>
      <c r="F13" s="44"/>
      <c r="G13" s="45"/>
      <c r="H13" s="44"/>
      <c r="I13" s="46"/>
      <c r="J13" s="68" t="str">
        <f t="shared" si="1"/>
        <v/>
      </c>
      <c r="K13" s="85"/>
      <c r="L13" s="38"/>
      <c r="M13" s="2" t="s">
        <v>43</v>
      </c>
      <c r="N13" s="15" t="s">
        <v>40</v>
      </c>
      <c r="O13" s="32">
        <f>COUNTIF(I11:I75,"00212")</f>
        <v>0</v>
      </c>
      <c r="P13" s="33">
        <f>COUNTIFS(E11:E75,1,I11:I75,212)</f>
        <v>0</v>
      </c>
      <c r="Q13" s="34">
        <f>COUNTIFS(E11:E75,2,I11:I75,212)</f>
        <v>0</v>
      </c>
    </row>
    <row r="14" spans="1:17" x14ac:dyDescent="0.15">
      <c r="A14" s="84"/>
      <c r="B14" s="63"/>
      <c r="C14" s="63"/>
      <c r="D14" s="64"/>
      <c r="E14" s="64"/>
      <c r="F14" s="64"/>
      <c r="G14" s="63"/>
      <c r="H14" s="64"/>
      <c r="I14" s="65"/>
      <c r="J14" s="47" t="str">
        <f t="shared" ref="J14:J37" si="2">IF(I14="","",VLOOKUP(I14,$M$13:$N$65,2,FALSE))</f>
        <v/>
      </c>
      <c r="K14" s="85"/>
      <c r="L14" s="39"/>
      <c r="M14" s="2" t="s">
        <v>27</v>
      </c>
      <c r="N14" s="15" t="s">
        <v>28</v>
      </c>
      <c r="O14" s="23">
        <f>COUNTIF(I11:I75,"00220")</f>
        <v>0</v>
      </c>
      <c r="P14" s="13">
        <f>COUNTIFS(E11:E75,1,I11:I75,220)</f>
        <v>0</v>
      </c>
      <c r="Q14" s="35">
        <f>COUNTIFS(E11:E75,2,I11:I75,220)</f>
        <v>0</v>
      </c>
    </row>
    <row r="15" spans="1:17" x14ac:dyDescent="0.15">
      <c r="A15" s="84"/>
      <c r="B15" s="63"/>
      <c r="C15" s="63"/>
      <c r="D15" s="64"/>
      <c r="E15" s="64"/>
      <c r="F15" s="64"/>
      <c r="G15" s="63"/>
      <c r="H15" s="64"/>
      <c r="I15" s="65"/>
      <c r="J15" s="47" t="str">
        <f t="shared" si="2"/>
        <v/>
      </c>
      <c r="K15" s="85"/>
      <c r="L15" s="40"/>
      <c r="M15" s="2" t="s">
        <v>42</v>
      </c>
      <c r="N15" s="15" t="s">
        <v>73</v>
      </c>
      <c r="O15" s="23">
        <f>COUNTIF(I11:I75,"00230")</f>
        <v>0</v>
      </c>
      <c r="P15" s="13">
        <f>COUNTIFS(E11:E75,1,I11:I75,230)</f>
        <v>0</v>
      </c>
      <c r="Q15" s="35">
        <f>COUNTIFS(E11:E75,2,I11:I75,230)</f>
        <v>0</v>
      </c>
    </row>
    <row r="16" spans="1:17" x14ac:dyDescent="0.15">
      <c r="A16" s="84"/>
      <c r="B16" s="63"/>
      <c r="C16" s="63"/>
      <c r="D16" s="64"/>
      <c r="E16" s="64"/>
      <c r="F16" s="64"/>
      <c r="G16" s="63"/>
      <c r="H16" s="66"/>
      <c r="I16" s="65"/>
      <c r="J16" s="47" t="str">
        <f t="shared" si="2"/>
        <v/>
      </c>
      <c r="K16" s="85"/>
      <c r="L16" s="40"/>
      <c r="M16" s="2" t="s">
        <v>44</v>
      </c>
      <c r="N16" s="15" t="s">
        <v>45</v>
      </c>
      <c r="O16" s="23">
        <f>COUNTIF(I11:I75,"00612")</f>
        <v>0</v>
      </c>
      <c r="P16" s="13">
        <f>COUNTIFS(E11:E75,1,I11:I75,612)</f>
        <v>0</v>
      </c>
      <c r="Q16" s="35">
        <f>COUNTIFS(E11:E75,2,I11:I75,612)</f>
        <v>0</v>
      </c>
    </row>
    <row r="17" spans="1:17" x14ac:dyDescent="0.15">
      <c r="A17" s="84"/>
      <c r="B17" s="63"/>
      <c r="C17" s="63"/>
      <c r="D17" s="64"/>
      <c r="E17" s="64"/>
      <c r="F17" s="64"/>
      <c r="G17" s="63"/>
      <c r="H17" s="64"/>
      <c r="I17" s="65"/>
      <c r="J17" s="47" t="str">
        <f t="shared" si="2"/>
        <v/>
      </c>
      <c r="K17" s="85"/>
      <c r="L17" s="40"/>
      <c r="M17" s="2" t="s">
        <v>46</v>
      </c>
      <c r="N17" s="15" t="s">
        <v>47</v>
      </c>
      <c r="O17" s="23">
        <f>COUNTIF(I11:I75,"00712")</f>
        <v>0</v>
      </c>
      <c r="P17" s="13">
        <f>COUNTIFS(E11:E75,1,I11:I75,712)</f>
        <v>0</v>
      </c>
      <c r="Q17" s="35">
        <f>COUNTIFS(E11:E75,2,I11:I75,712)</f>
        <v>0</v>
      </c>
    </row>
    <row r="18" spans="1:17" x14ac:dyDescent="0.15">
      <c r="A18" s="84"/>
      <c r="B18" s="63"/>
      <c r="C18" s="63"/>
      <c r="D18" s="64"/>
      <c r="E18" s="64"/>
      <c r="F18" s="64"/>
      <c r="G18" s="63"/>
      <c r="H18" s="64"/>
      <c r="I18" s="65"/>
      <c r="J18" s="47" t="str">
        <f t="shared" si="2"/>
        <v/>
      </c>
      <c r="K18" s="85"/>
      <c r="L18" s="41"/>
      <c r="M18" s="2" t="s">
        <v>60</v>
      </c>
      <c r="N18" s="15" t="s">
        <v>41</v>
      </c>
      <c r="O18" s="23">
        <f>COUNTIF(I11:I75,"01020")</f>
        <v>0</v>
      </c>
      <c r="P18" s="13">
        <f>COUNTIFS(E11:E75,1,I11:I75,1020)</f>
        <v>0</v>
      </c>
      <c r="Q18" s="35">
        <f>COUNTIFS(E11:E75,2,I11:I75,1020)</f>
        <v>0</v>
      </c>
    </row>
    <row r="19" spans="1:17" x14ac:dyDescent="0.15">
      <c r="A19" s="84"/>
      <c r="B19" s="63"/>
      <c r="C19" s="63"/>
      <c r="D19" s="64"/>
      <c r="E19" s="64"/>
      <c r="F19" s="64"/>
      <c r="G19" s="63"/>
      <c r="H19" s="64"/>
      <c r="I19" s="65"/>
      <c r="J19" s="47" t="str">
        <f t="shared" si="2"/>
        <v/>
      </c>
      <c r="K19" s="85"/>
      <c r="L19" s="41"/>
      <c r="M19" s="2" t="s">
        <v>64</v>
      </c>
      <c r="N19" s="15" t="s">
        <v>74</v>
      </c>
      <c r="O19" s="23">
        <f>COUNTIF(I12:I75,"01030")</f>
        <v>0</v>
      </c>
      <c r="P19" s="13">
        <f>COUNTIFS(E11:E75,1,I11:I75,1030)</f>
        <v>0</v>
      </c>
      <c r="Q19" s="35">
        <f>COUNTIFS(E11:E75,2,I11:I75,1030)</f>
        <v>0</v>
      </c>
    </row>
    <row r="20" spans="1:17" x14ac:dyDescent="0.15">
      <c r="A20" s="84"/>
      <c r="B20" s="45"/>
      <c r="C20" s="45"/>
      <c r="D20" s="44"/>
      <c r="E20" s="44"/>
      <c r="F20" s="44"/>
      <c r="G20" s="63"/>
      <c r="H20" s="44"/>
      <c r="I20" s="46"/>
      <c r="J20" s="68" t="str">
        <f t="shared" si="2"/>
        <v/>
      </c>
      <c r="K20" s="85"/>
      <c r="L20" s="43"/>
      <c r="M20" s="2" t="s">
        <v>62</v>
      </c>
      <c r="N20" s="15" t="s">
        <v>75</v>
      </c>
      <c r="O20" s="23">
        <f>COUNTIF(I11:I75,"01130")</f>
        <v>0</v>
      </c>
      <c r="P20" s="13">
        <f>COUNTIFS(E11:E75,1,I11:I75,1130)</f>
        <v>0</v>
      </c>
      <c r="Q20" s="35">
        <f>COUNTIFS(E11:E75,2,I11:I75,1030)</f>
        <v>0</v>
      </c>
    </row>
    <row r="21" spans="1:17" x14ac:dyDescent="0.15">
      <c r="A21" s="84"/>
      <c r="B21" s="45"/>
      <c r="C21" s="45"/>
      <c r="D21" s="44"/>
      <c r="E21" s="44"/>
      <c r="F21" s="44"/>
      <c r="G21" s="63"/>
      <c r="H21" s="44"/>
      <c r="I21" s="46"/>
      <c r="J21" s="68" t="str">
        <f t="shared" si="2"/>
        <v/>
      </c>
      <c r="K21" s="85"/>
      <c r="L21" s="40"/>
      <c r="M21" s="2" t="s">
        <v>29</v>
      </c>
      <c r="N21" s="15" t="s">
        <v>31</v>
      </c>
      <c r="O21" s="23">
        <f>COUNTIF(I11:I75,"03220")</f>
        <v>0</v>
      </c>
      <c r="P21" s="13">
        <f>COUNTIFS(E11:E75,1,I11:I75,3220)</f>
        <v>0</v>
      </c>
      <c r="Q21" s="35">
        <f>COUNTIFS(E11:E75,2,I11:I75,3220)</f>
        <v>0</v>
      </c>
    </row>
    <row r="22" spans="1:17" x14ac:dyDescent="0.15">
      <c r="A22" s="84"/>
      <c r="B22" s="45"/>
      <c r="C22" s="45"/>
      <c r="D22" s="55"/>
      <c r="E22" s="64"/>
      <c r="F22" s="64"/>
      <c r="G22" s="63"/>
      <c r="H22" s="66"/>
      <c r="I22" s="65"/>
      <c r="J22" s="67" t="str">
        <f t="shared" si="2"/>
        <v/>
      </c>
      <c r="K22" s="86"/>
      <c r="L22" s="39"/>
      <c r="M22" s="2" t="s">
        <v>30</v>
      </c>
      <c r="N22" s="15" t="s">
        <v>32</v>
      </c>
      <c r="O22" s="23">
        <f>COUNTIF(I11:I75,"04220")</f>
        <v>0</v>
      </c>
      <c r="P22" s="13">
        <f>COUNTIFS(E11:E75,1,I11:I75,4220)</f>
        <v>0</v>
      </c>
      <c r="Q22" s="35">
        <f>COUNTIFS(E11:E75,2,I11:I75,4220)</f>
        <v>0</v>
      </c>
    </row>
    <row r="23" spans="1:17" x14ac:dyDescent="0.15">
      <c r="A23" s="84"/>
      <c r="B23" s="45"/>
      <c r="C23" s="45"/>
      <c r="D23" s="55"/>
      <c r="E23" s="44"/>
      <c r="F23" s="44"/>
      <c r="G23" s="63"/>
      <c r="H23" s="48"/>
      <c r="I23" s="46"/>
      <c r="J23" s="68" t="str">
        <f t="shared" si="2"/>
        <v/>
      </c>
      <c r="K23" s="86"/>
      <c r="L23" s="40"/>
      <c r="M23" s="2" t="s">
        <v>34</v>
      </c>
      <c r="N23" s="15" t="s">
        <v>33</v>
      </c>
      <c r="O23" s="23">
        <f>COUNTIF(I11:I75,"07320")</f>
        <v>0</v>
      </c>
      <c r="P23" s="13">
        <f>COUNTIFS(E11:E75,1,I11:I75,7320)</f>
        <v>0</v>
      </c>
      <c r="Q23" s="35">
        <f>COUNTIFS(E11:E75,2,I11:I75,7320)</f>
        <v>0</v>
      </c>
    </row>
    <row r="24" spans="1:17" x14ac:dyDescent="0.15">
      <c r="A24" s="84"/>
      <c r="B24" s="56"/>
      <c r="C24" s="56"/>
      <c r="D24" s="55"/>
      <c r="E24" s="44"/>
      <c r="F24" s="44"/>
      <c r="G24" s="63"/>
      <c r="H24" s="48"/>
      <c r="I24" s="46"/>
      <c r="J24" s="68" t="str">
        <f t="shared" si="2"/>
        <v/>
      </c>
      <c r="K24" s="86"/>
      <c r="L24" s="40"/>
      <c r="M24" s="2" t="s">
        <v>59</v>
      </c>
      <c r="N24" s="15" t="s">
        <v>76</v>
      </c>
      <c r="O24" s="23">
        <f>COUNTIF(I10:I75,"07330")</f>
        <v>0</v>
      </c>
      <c r="P24" s="13">
        <f>COUNTIFS(E10:E75,1,I10:I75,7330)</f>
        <v>0</v>
      </c>
      <c r="Q24" s="35">
        <f>COUNTIFS(E10:E75,2,I10:I75,7330)</f>
        <v>0</v>
      </c>
    </row>
    <row r="25" spans="1:17" x14ac:dyDescent="0.15">
      <c r="A25" s="84"/>
      <c r="B25" s="56"/>
      <c r="C25" s="56"/>
      <c r="D25" s="55"/>
      <c r="E25" s="44"/>
      <c r="F25" s="44"/>
      <c r="G25" s="63"/>
      <c r="H25" s="48"/>
      <c r="I25" s="46"/>
      <c r="J25" s="68" t="str">
        <f t="shared" si="2"/>
        <v/>
      </c>
      <c r="K25" s="86"/>
      <c r="L25" s="40"/>
      <c r="M25" s="2" t="s">
        <v>36</v>
      </c>
      <c r="N25" s="36" t="s">
        <v>38</v>
      </c>
      <c r="O25" s="23">
        <f>COUNTIF(I11:I75,"08320")</f>
        <v>0</v>
      </c>
      <c r="P25" s="13">
        <f>COUNTIFS(E11:E75,1,I11:I75,8320)</f>
        <v>0</v>
      </c>
      <c r="Q25" s="35">
        <f>COUNTIFS(E11:E75,2,I11:I75,8320)</f>
        <v>0</v>
      </c>
    </row>
    <row r="26" spans="1:17" x14ac:dyDescent="0.15">
      <c r="A26" s="84"/>
      <c r="B26" s="56"/>
      <c r="C26" s="56"/>
      <c r="D26" s="55"/>
      <c r="E26" s="44"/>
      <c r="F26" s="44"/>
      <c r="G26" s="63"/>
      <c r="H26" s="48"/>
      <c r="I26" s="46"/>
      <c r="J26" s="68" t="str">
        <f t="shared" si="2"/>
        <v/>
      </c>
      <c r="K26" s="86"/>
      <c r="L26" s="40"/>
      <c r="M26" s="2" t="s">
        <v>37</v>
      </c>
      <c r="N26" s="36" t="s">
        <v>35</v>
      </c>
      <c r="O26" s="23">
        <f>COUNTIF(I11:I75,"08520")</f>
        <v>0</v>
      </c>
      <c r="P26" s="13">
        <f>COUNTIFS(E11:E75,1,I11:I75,8520)</f>
        <v>0</v>
      </c>
      <c r="Q26" s="35">
        <f>COUNTIFS(E11:E75,2,I11:I75,8520)</f>
        <v>0</v>
      </c>
    </row>
    <row r="27" spans="1:17" x14ac:dyDescent="0.15">
      <c r="A27" s="84"/>
      <c r="B27" s="56"/>
      <c r="C27" s="56"/>
      <c r="D27" s="55"/>
      <c r="E27" s="44"/>
      <c r="F27" s="44"/>
      <c r="G27" s="63"/>
      <c r="H27" s="48"/>
      <c r="I27" s="46"/>
      <c r="J27" s="68" t="str">
        <f t="shared" si="2"/>
        <v/>
      </c>
      <c r="K27" s="86"/>
      <c r="L27" s="40"/>
      <c r="M27" s="2" t="s">
        <v>57</v>
      </c>
      <c r="N27" s="16" t="s">
        <v>39</v>
      </c>
      <c r="O27" s="23">
        <f>COUNTIF(I11:I75,"08240")</f>
        <v>0</v>
      </c>
      <c r="P27" s="13">
        <f>COUNTIFS(E11:E75,1,I11:I75,8240)</f>
        <v>0</v>
      </c>
      <c r="Q27" s="35">
        <f>COUNTIFS(E11:E75,2,I11:I75,8240)</f>
        <v>0</v>
      </c>
    </row>
    <row r="28" spans="1:17" x14ac:dyDescent="0.15">
      <c r="A28" s="84"/>
      <c r="B28" s="56"/>
      <c r="C28" s="45"/>
      <c r="D28" s="55"/>
      <c r="E28" s="44"/>
      <c r="F28" s="44"/>
      <c r="G28" s="63"/>
      <c r="H28" s="48"/>
      <c r="I28" s="46"/>
      <c r="J28" s="68" t="str">
        <f t="shared" si="2"/>
        <v/>
      </c>
      <c r="K28" s="86"/>
      <c r="L28" s="40"/>
      <c r="M28" s="2" t="s">
        <v>58</v>
      </c>
      <c r="N28" s="16" t="s">
        <v>49</v>
      </c>
      <c r="O28" s="23">
        <f>COUNTIF(I11:I75,"08440")</f>
        <v>0</v>
      </c>
      <c r="P28" s="13">
        <f>COUNTIFS(E11:E75,1,I11:I75,8440)</f>
        <v>0</v>
      </c>
      <c r="Q28" s="35">
        <f>COUNTIFS(E11:E75,2,I11:I75,8440)</f>
        <v>0</v>
      </c>
    </row>
    <row r="29" spans="1:17" x14ac:dyDescent="0.15">
      <c r="A29" s="84"/>
      <c r="B29" s="87"/>
      <c r="C29" s="88"/>
      <c r="D29" s="55"/>
      <c r="E29" s="44"/>
      <c r="F29" s="44"/>
      <c r="G29" s="63"/>
      <c r="H29" s="48"/>
      <c r="I29" s="46"/>
      <c r="J29" s="68" t="str">
        <f t="shared" si="2"/>
        <v/>
      </c>
      <c r="K29" s="86"/>
      <c r="L29" s="40"/>
      <c r="M29" s="2" t="s">
        <v>55</v>
      </c>
      <c r="N29" s="16" t="s">
        <v>54</v>
      </c>
      <c r="O29" s="23">
        <f>COUNTIF(I11:I75,"09620")</f>
        <v>0</v>
      </c>
      <c r="P29" s="13">
        <f>COUNTIFS(E11:E75,1,I11:I75,9620)</f>
        <v>0</v>
      </c>
      <c r="Q29" s="35">
        <f>COUNTIFS(E11:E75,2,I11:I75,9620)</f>
        <v>0</v>
      </c>
    </row>
    <row r="30" spans="1:17" x14ac:dyDescent="0.15">
      <c r="A30" s="84"/>
      <c r="B30" s="57"/>
      <c r="C30" s="58"/>
      <c r="D30" s="55"/>
      <c r="E30" s="44"/>
      <c r="F30" s="44"/>
      <c r="G30" s="63"/>
      <c r="H30" s="48"/>
      <c r="I30" s="46"/>
      <c r="J30" s="68" t="str">
        <f t="shared" si="2"/>
        <v/>
      </c>
      <c r="K30" s="86"/>
      <c r="L30" s="40"/>
      <c r="M30" s="2" t="s">
        <v>56</v>
      </c>
      <c r="N30" s="16" t="s">
        <v>53</v>
      </c>
      <c r="O30" s="23">
        <f>COUNTIF(I11:I75,"08820")</f>
        <v>0</v>
      </c>
      <c r="P30" s="13">
        <f>COUNTIFS(E11:E75,1,I11:I75,8820)</f>
        <v>0</v>
      </c>
      <c r="Q30" s="35">
        <f>COUNTIFS(E11:E75,2,I11:I75,8820)</f>
        <v>0</v>
      </c>
    </row>
    <row r="31" spans="1:17" x14ac:dyDescent="0.15">
      <c r="A31" s="84"/>
      <c r="B31" s="50"/>
      <c r="C31" s="50"/>
      <c r="D31" s="44"/>
      <c r="E31" s="44"/>
      <c r="F31" s="44"/>
      <c r="G31" s="63"/>
      <c r="H31" s="48"/>
      <c r="I31" s="46"/>
      <c r="J31" s="68" t="str">
        <f t="shared" si="2"/>
        <v/>
      </c>
      <c r="K31" s="85"/>
      <c r="L31" s="40"/>
      <c r="M31" s="2" t="s">
        <v>52</v>
      </c>
      <c r="N31" s="16" t="s">
        <v>50</v>
      </c>
      <c r="O31" s="23">
        <f>COUNTIF(I11:I75,"08740")</f>
        <v>0</v>
      </c>
      <c r="P31" s="13">
        <f>COUNTIFS(E11:E75,1,I11:I75,8740)</f>
        <v>0</v>
      </c>
      <c r="Q31" s="35">
        <f>COUNTIFS(E11:E75,2,I11:I75,8740)</f>
        <v>0</v>
      </c>
    </row>
    <row r="32" spans="1:17" x14ac:dyDescent="0.15">
      <c r="A32" s="84"/>
      <c r="B32" s="50"/>
      <c r="C32" s="50"/>
      <c r="D32" s="44"/>
      <c r="E32" s="44"/>
      <c r="F32" s="44"/>
      <c r="G32" s="63"/>
      <c r="H32" s="48"/>
      <c r="I32" s="46"/>
      <c r="J32" s="68" t="str">
        <f t="shared" si="2"/>
        <v/>
      </c>
      <c r="K32" s="85"/>
      <c r="L32" s="40"/>
      <c r="M32" s="2" t="s">
        <v>51</v>
      </c>
      <c r="N32" s="16" t="s">
        <v>48</v>
      </c>
      <c r="O32" s="23">
        <f>COUNTIF(I9:I75,"08840")</f>
        <v>0</v>
      </c>
      <c r="P32" s="13">
        <f>COUNTIFS(E9:E75,1,I9:I75,8840)</f>
        <v>0</v>
      </c>
      <c r="Q32" s="35">
        <f>COUNTIFS(E9:E75,2,I9:I75,8840)</f>
        <v>0</v>
      </c>
    </row>
    <row r="33" spans="1:17" x14ac:dyDescent="0.15">
      <c r="A33" s="84"/>
      <c r="B33" s="63"/>
      <c r="C33" s="63"/>
      <c r="D33" s="64"/>
      <c r="E33" s="64"/>
      <c r="F33" s="64"/>
      <c r="G33" s="63"/>
      <c r="H33" s="64"/>
      <c r="I33" s="65"/>
      <c r="J33" s="67" t="str">
        <f t="shared" si="2"/>
        <v/>
      </c>
      <c r="K33" s="85"/>
      <c r="L33" s="40"/>
      <c r="M33" s="46" t="s">
        <v>66</v>
      </c>
      <c r="N33" s="51" t="s">
        <v>67</v>
      </c>
      <c r="O33" s="23">
        <f>COUNTIF(I10:I75,"00250")</f>
        <v>0</v>
      </c>
      <c r="P33" s="13">
        <f>COUNTIFS(E10:E75,1,I10:I75,250)</f>
        <v>0</v>
      </c>
      <c r="Q33" s="35">
        <f>COUNTIFS(E10:E75,2,I10:I75,250)</f>
        <v>0</v>
      </c>
    </row>
    <row r="34" spans="1:17" x14ac:dyDescent="0.15">
      <c r="A34" s="84"/>
      <c r="B34" s="45"/>
      <c r="C34" s="45"/>
      <c r="D34" s="44"/>
      <c r="E34" s="44"/>
      <c r="F34" s="44"/>
      <c r="G34" s="45"/>
      <c r="H34" s="44"/>
      <c r="I34" s="46"/>
      <c r="J34" s="68" t="str">
        <f t="shared" si="2"/>
        <v/>
      </c>
      <c r="K34" s="85"/>
      <c r="L34" s="40"/>
      <c r="M34" s="2" t="s">
        <v>65</v>
      </c>
      <c r="N34" s="16" t="s">
        <v>69</v>
      </c>
      <c r="O34" s="23">
        <f>COUNTIF(I11:I75,"01060")</f>
        <v>0</v>
      </c>
      <c r="P34" s="13">
        <f>COUNTIFS(E11:E75,1,I11:I75,1060)</f>
        <v>0</v>
      </c>
      <c r="Q34" s="35">
        <f>COUNTIFS(E11:E75,2,I11:I75,1060)</f>
        <v>0</v>
      </c>
    </row>
    <row r="35" spans="1:17" x14ac:dyDescent="0.15">
      <c r="A35" s="84"/>
      <c r="B35" s="45"/>
      <c r="C35" s="45"/>
      <c r="D35" s="44"/>
      <c r="E35" s="44"/>
      <c r="F35" s="44"/>
      <c r="G35" s="45"/>
      <c r="H35" s="44"/>
      <c r="I35" s="46"/>
      <c r="J35" s="68" t="str">
        <f t="shared" si="2"/>
        <v/>
      </c>
      <c r="K35" s="85"/>
      <c r="L35" s="40"/>
      <c r="N35" s="18"/>
      <c r="O35" s="25"/>
      <c r="P35" s="29"/>
      <c r="Q35" s="29"/>
    </row>
    <row r="36" spans="1:17" x14ac:dyDescent="0.15">
      <c r="A36" s="97"/>
      <c r="B36" s="45"/>
      <c r="C36" s="45"/>
      <c r="D36" s="44"/>
      <c r="E36" s="44"/>
      <c r="F36" s="44"/>
      <c r="G36" s="45"/>
      <c r="H36" s="44"/>
      <c r="I36" s="46"/>
      <c r="J36" s="47" t="str">
        <f t="shared" si="2"/>
        <v/>
      </c>
      <c r="K36" s="85"/>
      <c r="L36" s="40"/>
      <c r="O36" s="28">
        <f>SUM(O13:O34)</f>
        <v>0</v>
      </c>
      <c r="P36" s="28">
        <f>SUM(P13:P34)</f>
        <v>0</v>
      </c>
      <c r="Q36" s="28">
        <f>SUM(Q13:Q34)</f>
        <v>0</v>
      </c>
    </row>
    <row r="37" spans="1:17" x14ac:dyDescent="0.15">
      <c r="A37" s="97"/>
      <c r="B37" s="45"/>
      <c r="C37" s="45"/>
      <c r="D37" s="44"/>
      <c r="E37" s="44"/>
      <c r="F37" s="44"/>
      <c r="G37" s="45"/>
      <c r="H37" s="44"/>
      <c r="I37" s="46"/>
      <c r="J37" s="47" t="str">
        <f t="shared" si="2"/>
        <v/>
      </c>
      <c r="K37" s="85"/>
      <c r="L37" s="40"/>
      <c r="N37" s="24"/>
    </row>
    <row r="38" spans="1:17" x14ac:dyDescent="0.15">
      <c r="A38" s="97"/>
      <c r="B38" s="45"/>
      <c r="C38" s="96"/>
      <c r="D38" s="44"/>
      <c r="E38" s="44"/>
      <c r="F38" s="44"/>
      <c r="G38" s="45"/>
      <c r="H38" s="44"/>
      <c r="I38" s="46"/>
      <c r="J38" s="47" t="str">
        <f t="shared" ref="J38" si="3">IF(I38="","",VLOOKUP(I38,$M$13:$N$31,2,FALSE))</f>
        <v/>
      </c>
      <c r="K38" s="85"/>
      <c r="L38" s="40"/>
      <c r="N38" s="24"/>
    </row>
    <row r="39" spans="1:17" x14ac:dyDescent="0.15">
      <c r="A39" s="97"/>
      <c r="B39" s="45"/>
      <c r="C39" s="58"/>
      <c r="D39" s="55"/>
      <c r="E39" s="59"/>
      <c r="F39" s="45"/>
      <c r="G39" s="45"/>
      <c r="H39" s="48"/>
      <c r="I39" s="46"/>
      <c r="J39" s="47" t="str">
        <f t="shared" ref="J39:J75" si="4">IF(I39="","",VLOOKUP(I39,$M$13:$N$65,2,FALSE))</f>
        <v/>
      </c>
      <c r="K39" s="86"/>
      <c r="L39" s="40"/>
      <c r="N39" s="24"/>
    </row>
    <row r="40" spans="1:17" x14ac:dyDescent="0.15">
      <c r="A40" s="84"/>
      <c r="B40" s="63"/>
      <c r="C40" s="63"/>
      <c r="D40" s="64"/>
      <c r="E40" s="64"/>
      <c r="F40" s="64"/>
      <c r="G40" s="63"/>
      <c r="H40" s="66"/>
      <c r="I40" s="65"/>
      <c r="J40" s="47" t="str">
        <f t="shared" si="4"/>
        <v/>
      </c>
      <c r="K40" s="85"/>
      <c r="L40" s="40"/>
      <c r="N40" s="24"/>
    </row>
    <row r="41" spans="1:17" x14ac:dyDescent="0.15">
      <c r="A41" s="84"/>
      <c r="B41" s="45"/>
      <c r="C41" s="45"/>
      <c r="D41" s="44"/>
      <c r="E41" s="44"/>
      <c r="F41" s="44"/>
      <c r="G41" s="45"/>
      <c r="H41" s="48"/>
      <c r="I41" s="46"/>
      <c r="J41" s="68" t="str">
        <f t="shared" si="4"/>
        <v/>
      </c>
      <c r="K41" s="85"/>
      <c r="L41" s="40"/>
      <c r="N41" s="24"/>
    </row>
    <row r="42" spans="1:17" x14ac:dyDescent="0.15">
      <c r="A42" s="84"/>
      <c r="B42" s="45"/>
      <c r="C42" s="45"/>
      <c r="D42" s="44"/>
      <c r="E42" s="44"/>
      <c r="F42" s="44"/>
      <c r="G42" s="45"/>
      <c r="H42" s="48"/>
      <c r="I42" s="46"/>
      <c r="J42" s="68" t="str">
        <f t="shared" si="4"/>
        <v/>
      </c>
      <c r="K42" s="85"/>
      <c r="L42" s="40"/>
      <c r="N42" s="24"/>
    </row>
    <row r="43" spans="1:17" x14ac:dyDescent="0.15">
      <c r="A43" s="84"/>
      <c r="B43" s="45"/>
      <c r="C43" s="45"/>
      <c r="D43" s="44"/>
      <c r="E43" s="44"/>
      <c r="F43" s="44"/>
      <c r="G43" s="45"/>
      <c r="H43" s="48"/>
      <c r="I43" s="46"/>
      <c r="J43" s="68" t="str">
        <f t="shared" si="4"/>
        <v/>
      </c>
      <c r="K43" s="85"/>
      <c r="L43" s="40"/>
      <c r="N43" s="24"/>
    </row>
    <row r="44" spans="1:17" x14ac:dyDescent="0.15">
      <c r="A44" s="84"/>
      <c r="B44" s="45"/>
      <c r="C44" s="45"/>
      <c r="D44" s="44"/>
      <c r="E44" s="44"/>
      <c r="F44" s="44"/>
      <c r="G44" s="45"/>
      <c r="H44" s="48"/>
      <c r="I44" s="46"/>
      <c r="J44" s="68" t="str">
        <f t="shared" si="4"/>
        <v/>
      </c>
      <c r="K44" s="85"/>
      <c r="L44" s="40"/>
      <c r="N44" s="24"/>
    </row>
    <row r="45" spans="1:17" x14ac:dyDescent="0.15">
      <c r="A45" s="84"/>
      <c r="B45" s="45"/>
      <c r="C45" s="45"/>
      <c r="D45" s="44"/>
      <c r="E45" s="44"/>
      <c r="F45" s="44"/>
      <c r="G45" s="45"/>
      <c r="H45" s="48"/>
      <c r="I45" s="46"/>
      <c r="J45" s="68" t="str">
        <f t="shared" si="4"/>
        <v/>
      </c>
      <c r="K45" s="85"/>
      <c r="L45" s="40"/>
      <c r="N45" s="24"/>
    </row>
    <row r="46" spans="1:17" x14ac:dyDescent="0.15">
      <c r="A46" s="84"/>
      <c r="B46" s="45"/>
      <c r="C46" s="45"/>
      <c r="D46" s="44"/>
      <c r="E46" s="44"/>
      <c r="F46" s="44"/>
      <c r="G46" s="45"/>
      <c r="H46" s="48"/>
      <c r="I46" s="46"/>
      <c r="J46" s="68" t="str">
        <f t="shared" si="4"/>
        <v/>
      </c>
      <c r="K46" s="85"/>
      <c r="L46" s="40"/>
      <c r="N46" s="24"/>
    </row>
    <row r="47" spans="1:17" x14ac:dyDescent="0.15">
      <c r="A47" s="84"/>
      <c r="B47" s="45"/>
      <c r="C47" s="45"/>
      <c r="D47" s="49"/>
      <c r="E47" s="44"/>
      <c r="F47" s="44"/>
      <c r="G47" s="45"/>
      <c r="H47" s="48"/>
      <c r="I47" s="46"/>
      <c r="J47" s="68" t="str">
        <f t="shared" si="4"/>
        <v/>
      </c>
      <c r="K47" s="85"/>
      <c r="L47" s="40"/>
      <c r="N47" s="24"/>
    </row>
    <row r="48" spans="1:17" x14ac:dyDescent="0.15">
      <c r="A48" s="84"/>
      <c r="B48" s="45"/>
      <c r="C48" s="45"/>
      <c r="D48" s="49"/>
      <c r="E48" s="44"/>
      <c r="F48" s="44"/>
      <c r="G48" s="45"/>
      <c r="H48" s="48"/>
      <c r="I48" s="46"/>
      <c r="J48" s="68" t="str">
        <f t="shared" si="4"/>
        <v/>
      </c>
      <c r="K48" s="85"/>
      <c r="L48" s="40"/>
      <c r="N48" s="24"/>
    </row>
    <row r="49" spans="1:14" x14ac:dyDescent="0.15">
      <c r="A49" s="84"/>
      <c r="B49" s="50"/>
      <c r="C49" s="50"/>
      <c r="D49" s="44"/>
      <c r="E49" s="44"/>
      <c r="F49" s="44"/>
      <c r="G49" s="45"/>
      <c r="H49" s="48"/>
      <c r="I49" s="46"/>
      <c r="J49" s="68" t="str">
        <f t="shared" si="4"/>
        <v/>
      </c>
      <c r="K49" s="85"/>
      <c r="L49" s="40"/>
      <c r="N49" s="24"/>
    </row>
    <row r="50" spans="1:14" x14ac:dyDescent="0.15">
      <c r="A50" s="84"/>
      <c r="B50" s="50"/>
      <c r="C50" s="50"/>
      <c r="D50" s="44"/>
      <c r="E50" s="44"/>
      <c r="F50" s="44"/>
      <c r="G50" s="45"/>
      <c r="H50" s="48"/>
      <c r="I50" s="46"/>
      <c r="J50" s="68" t="str">
        <f t="shared" si="4"/>
        <v/>
      </c>
      <c r="K50" s="85"/>
      <c r="L50" s="40"/>
      <c r="N50" s="24"/>
    </row>
    <row r="51" spans="1:14" x14ac:dyDescent="0.15">
      <c r="A51" s="84"/>
      <c r="B51" s="50"/>
      <c r="C51" s="50"/>
      <c r="D51" s="44"/>
      <c r="E51" s="44"/>
      <c r="F51" s="44"/>
      <c r="G51" s="45"/>
      <c r="H51" s="48"/>
      <c r="I51" s="46"/>
      <c r="J51" s="68" t="str">
        <f t="shared" si="4"/>
        <v/>
      </c>
      <c r="K51" s="85"/>
      <c r="L51" s="40"/>
      <c r="N51" s="24"/>
    </row>
    <row r="52" spans="1:14" x14ac:dyDescent="0.15">
      <c r="A52" s="84"/>
      <c r="B52" s="50"/>
      <c r="C52" s="50"/>
      <c r="D52" s="44"/>
      <c r="E52" s="44"/>
      <c r="F52" s="44"/>
      <c r="G52" s="45"/>
      <c r="H52" s="48"/>
      <c r="I52" s="46"/>
      <c r="J52" s="68" t="str">
        <f t="shared" si="4"/>
        <v/>
      </c>
      <c r="K52" s="85"/>
      <c r="L52" s="40"/>
      <c r="N52" s="24"/>
    </row>
    <row r="53" spans="1:14" x14ac:dyDescent="0.15">
      <c r="A53" s="84"/>
      <c r="B53" s="50"/>
      <c r="C53" s="50"/>
      <c r="D53" s="44"/>
      <c r="E53" s="44"/>
      <c r="F53" s="44"/>
      <c r="G53" s="45"/>
      <c r="H53" s="48"/>
      <c r="I53" s="46"/>
      <c r="J53" s="68" t="str">
        <f t="shared" si="4"/>
        <v/>
      </c>
      <c r="K53" s="86"/>
      <c r="L53" s="40"/>
      <c r="N53" s="24"/>
    </row>
    <row r="54" spans="1:14" x14ac:dyDescent="0.15">
      <c r="A54" s="84"/>
      <c r="B54" s="50"/>
      <c r="C54" s="50"/>
      <c r="D54" s="44"/>
      <c r="E54" s="44"/>
      <c r="F54" s="44"/>
      <c r="G54" s="45"/>
      <c r="H54" s="44"/>
      <c r="I54" s="46"/>
      <c r="J54" s="68" t="str">
        <f t="shared" si="4"/>
        <v/>
      </c>
      <c r="K54" s="86"/>
      <c r="L54" s="40"/>
      <c r="N54" s="24"/>
    </row>
    <row r="55" spans="1:14" x14ac:dyDescent="0.15">
      <c r="A55" s="84"/>
      <c r="B55" s="50"/>
      <c r="C55" s="50"/>
      <c r="D55" s="44"/>
      <c r="E55" s="44"/>
      <c r="F55" s="44"/>
      <c r="G55" s="45"/>
      <c r="H55" s="44"/>
      <c r="I55" s="46"/>
      <c r="J55" s="68" t="str">
        <f t="shared" si="4"/>
        <v/>
      </c>
      <c r="K55" s="86"/>
      <c r="L55" s="40"/>
      <c r="N55" s="24"/>
    </row>
    <row r="56" spans="1:14" x14ac:dyDescent="0.15">
      <c r="A56" s="84"/>
      <c r="B56" s="63"/>
      <c r="C56" s="63"/>
      <c r="D56" s="64"/>
      <c r="E56" s="64"/>
      <c r="F56" s="64"/>
      <c r="G56" s="63"/>
      <c r="H56" s="64"/>
      <c r="I56" s="98"/>
      <c r="J56" s="47" t="str">
        <f t="shared" si="4"/>
        <v/>
      </c>
      <c r="K56" s="85"/>
      <c r="L56" s="40"/>
      <c r="N56" s="24"/>
    </row>
    <row r="57" spans="1:14" x14ac:dyDescent="0.15">
      <c r="A57" s="84"/>
      <c r="B57" s="53"/>
      <c r="C57" s="53"/>
      <c r="D57" s="54"/>
      <c r="E57" s="54"/>
      <c r="F57" s="54"/>
      <c r="G57" s="53"/>
      <c r="H57" s="54"/>
      <c r="I57" s="99"/>
      <c r="J57" s="101" t="str">
        <f t="shared" si="4"/>
        <v/>
      </c>
      <c r="K57" s="89"/>
      <c r="L57" s="40"/>
      <c r="N57" s="24"/>
    </row>
    <row r="58" spans="1:14" x14ac:dyDescent="0.15">
      <c r="A58" s="84"/>
      <c r="B58" s="60"/>
      <c r="C58" s="60"/>
      <c r="D58" s="61"/>
      <c r="E58" s="61"/>
      <c r="F58" s="61"/>
      <c r="G58" s="60"/>
      <c r="H58" s="61"/>
      <c r="I58" s="62"/>
      <c r="J58" s="100" t="str">
        <f t="shared" si="4"/>
        <v/>
      </c>
      <c r="K58" s="89"/>
      <c r="L58" s="40"/>
      <c r="N58" s="24"/>
    </row>
    <row r="59" spans="1:14" x14ac:dyDescent="0.15">
      <c r="A59" s="84"/>
      <c r="B59" s="60"/>
      <c r="C59" s="60"/>
      <c r="D59" s="61"/>
      <c r="E59" s="61"/>
      <c r="F59" s="61"/>
      <c r="G59" s="60"/>
      <c r="H59" s="61"/>
      <c r="I59" s="62"/>
      <c r="J59" s="69" t="str">
        <f t="shared" si="4"/>
        <v/>
      </c>
      <c r="K59" s="89"/>
      <c r="L59" s="40"/>
      <c r="N59" s="24"/>
    </row>
    <row r="60" spans="1:14" x14ac:dyDescent="0.15">
      <c r="A60" s="84"/>
      <c r="B60" s="60"/>
      <c r="C60" s="60"/>
      <c r="D60" s="61"/>
      <c r="E60" s="61"/>
      <c r="F60" s="61"/>
      <c r="G60" s="60"/>
      <c r="H60" s="61"/>
      <c r="I60" s="62"/>
      <c r="J60" s="69" t="str">
        <f t="shared" si="4"/>
        <v/>
      </c>
      <c r="K60" s="89"/>
      <c r="L60" s="40"/>
      <c r="N60" s="24"/>
    </row>
    <row r="61" spans="1:14" x14ac:dyDescent="0.15">
      <c r="A61" s="84"/>
      <c r="B61" s="60"/>
      <c r="C61" s="60"/>
      <c r="D61" s="61"/>
      <c r="E61" s="61"/>
      <c r="F61" s="61"/>
      <c r="G61" s="60"/>
      <c r="H61" s="61"/>
      <c r="I61" s="62"/>
      <c r="J61" s="69" t="str">
        <f t="shared" si="4"/>
        <v/>
      </c>
      <c r="K61" s="89"/>
      <c r="L61" s="40"/>
      <c r="N61" s="24"/>
    </row>
    <row r="62" spans="1:14" x14ac:dyDescent="0.15">
      <c r="A62" s="84"/>
      <c r="B62" s="60"/>
      <c r="C62" s="60"/>
      <c r="D62" s="61"/>
      <c r="E62" s="61"/>
      <c r="F62" s="61"/>
      <c r="G62" s="60"/>
      <c r="H62" s="61"/>
      <c r="I62" s="62"/>
      <c r="J62" s="69" t="str">
        <f t="shared" si="4"/>
        <v/>
      </c>
      <c r="K62" s="89"/>
      <c r="L62" s="40"/>
      <c r="N62" s="24"/>
    </row>
    <row r="63" spans="1:14" x14ac:dyDescent="0.15">
      <c r="A63" s="84"/>
      <c r="B63" s="60"/>
      <c r="C63" s="60"/>
      <c r="D63" s="61"/>
      <c r="E63" s="61"/>
      <c r="F63" s="61"/>
      <c r="G63" s="60"/>
      <c r="H63" s="61"/>
      <c r="I63" s="62"/>
      <c r="J63" s="69" t="str">
        <f t="shared" si="4"/>
        <v/>
      </c>
      <c r="K63" s="89"/>
      <c r="L63" s="40"/>
      <c r="N63" s="24"/>
    </row>
    <row r="64" spans="1:14" x14ac:dyDescent="0.15">
      <c r="A64" s="84"/>
      <c r="B64" s="63"/>
      <c r="C64" s="63"/>
      <c r="D64" s="64"/>
      <c r="E64" s="64"/>
      <c r="F64" s="64"/>
      <c r="G64" s="63"/>
      <c r="H64" s="66"/>
      <c r="I64" s="65"/>
      <c r="J64" s="67" t="str">
        <f t="shared" si="4"/>
        <v/>
      </c>
      <c r="K64" s="85"/>
      <c r="L64" s="40"/>
      <c r="N64" s="24"/>
    </row>
    <row r="65" spans="1:14" x14ac:dyDescent="0.15">
      <c r="A65" s="84"/>
      <c r="B65" s="45"/>
      <c r="C65" s="45"/>
      <c r="D65" s="44"/>
      <c r="E65" s="44"/>
      <c r="F65" s="44"/>
      <c r="G65" s="45"/>
      <c r="H65" s="48"/>
      <c r="I65" s="46"/>
      <c r="J65" s="68" t="str">
        <f t="shared" si="4"/>
        <v/>
      </c>
      <c r="K65" s="85"/>
      <c r="L65" s="40"/>
      <c r="N65" s="24"/>
    </row>
    <row r="66" spans="1:14" x14ac:dyDescent="0.15">
      <c r="A66" s="84"/>
      <c r="B66" s="45"/>
      <c r="C66" s="45"/>
      <c r="D66" s="44"/>
      <c r="E66" s="44"/>
      <c r="F66" s="44"/>
      <c r="G66" s="45"/>
      <c r="H66" s="48"/>
      <c r="I66" s="46"/>
      <c r="J66" s="68" t="str">
        <f t="shared" si="4"/>
        <v/>
      </c>
      <c r="K66" s="85"/>
      <c r="L66" s="40"/>
      <c r="N66" s="24"/>
    </row>
    <row r="67" spans="1:14" x14ac:dyDescent="0.15">
      <c r="A67" s="84"/>
      <c r="B67" s="45"/>
      <c r="C67" s="45"/>
      <c r="D67" s="44"/>
      <c r="E67" s="44"/>
      <c r="F67" s="44"/>
      <c r="G67" s="45"/>
      <c r="H67" s="44"/>
      <c r="I67" s="46"/>
      <c r="J67" s="68" t="str">
        <f t="shared" si="4"/>
        <v/>
      </c>
      <c r="K67" s="85"/>
      <c r="L67" s="40"/>
      <c r="N67" s="24"/>
    </row>
    <row r="68" spans="1:14" x14ac:dyDescent="0.15">
      <c r="A68" s="84"/>
      <c r="B68" s="45"/>
      <c r="C68" s="45"/>
      <c r="D68" s="44"/>
      <c r="E68" s="44"/>
      <c r="F68" s="44"/>
      <c r="G68" s="45"/>
      <c r="H68" s="48"/>
      <c r="I68" s="46"/>
      <c r="J68" s="68" t="str">
        <f t="shared" si="4"/>
        <v/>
      </c>
      <c r="K68" s="85"/>
      <c r="L68" s="40"/>
      <c r="N68" s="24"/>
    </row>
    <row r="69" spans="1:14" x14ac:dyDescent="0.15">
      <c r="A69" s="84"/>
      <c r="B69" s="45"/>
      <c r="C69" s="45"/>
      <c r="D69" s="44"/>
      <c r="E69" s="44"/>
      <c r="F69" s="44"/>
      <c r="G69" s="45"/>
      <c r="H69" s="48"/>
      <c r="I69" s="46"/>
      <c r="J69" s="68" t="str">
        <f t="shared" si="4"/>
        <v/>
      </c>
      <c r="K69" s="85"/>
      <c r="L69" s="40"/>
      <c r="N69" s="24"/>
    </row>
    <row r="70" spans="1:14" x14ac:dyDescent="0.15">
      <c r="A70" s="84"/>
      <c r="B70" s="45"/>
      <c r="C70" s="45"/>
      <c r="D70" s="44"/>
      <c r="E70" s="44"/>
      <c r="F70" s="44"/>
      <c r="G70" s="45"/>
      <c r="H70" s="48"/>
      <c r="I70" s="46"/>
      <c r="J70" s="68" t="str">
        <f t="shared" si="4"/>
        <v/>
      </c>
      <c r="K70" s="85"/>
      <c r="L70" s="40"/>
      <c r="N70" s="24"/>
    </row>
    <row r="71" spans="1:14" x14ac:dyDescent="0.15">
      <c r="A71" s="84"/>
      <c r="B71" s="45"/>
      <c r="C71" s="45"/>
      <c r="D71" s="49"/>
      <c r="E71" s="44"/>
      <c r="F71" s="44"/>
      <c r="G71" s="45"/>
      <c r="H71" s="48"/>
      <c r="I71" s="46"/>
      <c r="J71" s="68" t="str">
        <f t="shared" si="4"/>
        <v/>
      </c>
      <c r="K71" s="85"/>
      <c r="L71" s="40"/>
      <c r="N71" s="24"/>
    </row>
    <row r="72" spans="1:14" x14ac:dyDescent="0.15">
      <c r="A72" s="84"/>
      <c r="B72" s="63"/>
      <c r="C72" s="63"/>
      <c r="D72" s="64"/>
      <c r="E72" s="64"/>
      <c r="F72" s="64"/>
      <c r="G72" s="63"/>
      <c r="H72" s="64"/>
      <c r="I72" s="65"/>
      <c r="J72" s="67" t="str">
        <f t="shared" si="4"/>
        <v/>
      </c>
      <c r="K72" s="85"/>
      <c r="L72" s="40"/>
      <c r="N72" s="24"/>
    </row>
    <row r="73" spans="1:14" x14ac:dyDescent="0.15">
      <c r="A73" s="84"/>
      <c r="B73" s="45"/>
      <c r="C73" s="45"/>
      <c r="D73" s="44"/>
      <c r="E73" s="44"/>
      <c r="F73" s="44"/>
      <c r="G73" s="45"/>
      <c r="H73" s="44"/>
      <c r="I73" s="46"/>
      <c r="J73" s="68" t="str">
        <f t="shared" si="4"/>
        <v/>
      </c>
      <c r="K73" s="85"/>
      <c r="L73" s="40"/>
      <c r="N73" s="24"/>
    </row>
    <row r="74" spans="1:14" x14ac:dyDescent="0.15">
      <c r="A74" s="84"/>
      <c r="B74" s="45"/>
      <c r="C74" s="45"/>
      <c r="D74" s="44"/>
      <c r="E74" s="44"/>
      <c r="F74" s="44"/>
      <c r="G74" s="45"/>
      <c r="H74" s="44"/>
      <c r="I74" s="46"/>
      <c r="J74" s="68" t="str">
        <f t="shared" si="4"/>
        <v/>
      </c>
      <c r="K74" s="85"/>
      <c r="L74" s="40"/>
      <c r="N74" s="24"/>
    </row>
    <row r="75" spans="1:14" ht="14.25" thickBot="1" x14ac:dyDescent="0.2">
      <c r="A75" s="90"/>
      <c r="B75" s="91"/>
      <c r="C75" s="91"/>
      <c r="D75" s="92"/>
      <c r="E75" s="92"/>
      <c r="F75" s="92"/>
      <c r="G75" s="91"/>
      <c r="H75" s="92"/>
      <c r="I75" s="93"/>
      <c r="J75" s="94" t="str">
        <f t="shared" si="4"/>
        <v/>
      </c>
      <c r="K75" s="95"/>
      <c r="L75" s="40"/>
      <c r="N75" s="24"/>
    </row>
  </sheetData>
  <mergeCells count="1">
    <mergeCell ref="B4:F4"/>
  </mergeCells>
  <phoneticPr fontId="2"/>
  <dataValidations xWindow="535" yWindow="708" count="18">
    <dataValidation allowBlank="1" showInputMessage="1" showErrorMessage="1" sqref="J2:L2 D8:G8 F9 J8:J9 I8 A4:F7 I10:L10 H4:H10 D10:G10 I4:J4 K5:L5 A1 C1:L1 I6:J7 J3 M1:Q4 O36:Q36 G5:G7 A2:H3 A8:C10 I12:J21 B29 I22:I56 J22:J24 J26:J35 J37:J42 C38 J44:J56 J68:J74 I64:I75 J64:J66 M11:Q35 R1:AL75 M37:N75" xr:uid="{00000000-0002-0000-0000-000000000000}"/>
    <dataValidation allowBlank="1" showInputMessage="1" showErrorMessage="1" prompt="半角カナで入力してください。" sqref="C12:C29 C31:C37 C40:C51 C53:C56 C64:C75" xr:uid="{00000000-0002-0000-0000-000001000000}"/>
    <dataValidation allowBlank="1" showInputMessage="1" showErrorMessage="1" prompt="全角で苗字と名の間は１字開ける、生徒・学生は（）で新学年を入力してください。" sqref="B12:B21 B31:B51 B53:B56 B64:B75" xr:uid="{00000000-0002-0000-0000-000002000000}"/>
    <dataValidation operator="equal" allowBlank="1" showInputMessage="1" showErrorMessage="1" errorTitle="学校の入力エラー" error="学校コードは６桁です。" promptTitle="所属名" prompt="所属名を入力してください。_x000a_学校の場合は下記の書式でお願いします。_x000a_○○中_x000a_○○高_x000a_○○大" sqref="G12:G56 G64:G75" xr:uid="{00000000-0002-0000-0000-000003000000}"/>
    <dataValidation type="textLength" allowBlank="1" showInputMessage="1" showErrorMessage="1" errorTitle="記録の入力エラー" error="トラック種目の記録は７桁、_x000a_フィールド種目の記録は５桁です。" sqref="L15:L21 L11:L13 K12:K56 K64:K75 L23:L75" xr:uid="{00000000-0002-0000-0000-000004000000}">
      <formula1>5</formula1>
      <formula2>7</formula2>
    </dataValidation>
    <dataValidation type="textLength" operator="equal" allowBlank="1" showInputMessage="1" showErrorMessage="1" errorTitle="県の入力エラー" error="県コードは「３３」です。" sqref="F12:F28 F31:F46 F49:F56 F64:F70 F72:F75" xr:uid="{00000000-0002-0000-0000-000005000000}">
      <formula1>2</formula1>
    </dataValidation>
    <dataValidation type="textLength" allowBlank="1" showInputMessage="1" showErrorMessage="1" errorTitle="記録の入力エラー" error="トラック種目の記録は７桁、 フィールド種目の記録は５桁です。" sqref="L22 L14" xr:uid="{00000000-0002-0000-0000-000006000000}">
      <formula1>5</formula1>
      <formula2>7</formula2>
    </dataValidation>
    <dataValidation type="textLength" operator="equal" allowBlank="1" showInputMessage="1" showErrorMessage="1" errorTitle="性別の入力エラー" error="性別は１桁です。" sqref="D12:E21 E22:E32 D33:E38 E39 D40:E46 E47:E55 D56:E56 D64:E70 E71 D72:E75" xr:uid="{00000000-0002-0000-0000-000007000000}">
      <formula1>1</formula1>
    </dataValidation>
    <dataValidation allowBlank="1" showInputMessage="1" showErrorMessage="1" prompt="全角で、学年は半角入力" sqref="B22:B28" xr:uid="{00000000-0002-0000-0000-00000A000000}"/>
    <dataValidation type="textLength" operator="equal" allowBlank="1" showInputMessage="1" showErrorMessage="1" errorTitle="学年の入力エラー" error="学年は１桁です。" sqref="D47:D48 D71" xr:uid="{671B9235-4C88-49DF-86AB-CECFC2546106}">
      <formula1>1</formula1>
    </dataValidation>
    <dataValidation type="textLength" operator="equal" allowBlank="1" showInputMessage="1" showErrorMessage="1" errorTitle="県の入力エラー" error="県コードは「33」です。" prompt="「33」_x000a_を入力" sqref="F29:F30 F47:F48 F71" xr:uid="{000CC701-A05F-4088-B036-C3C42CD7539C}">
      <formula1>2</formula1>
    </dataValidation>
    <dataValidation type="custom" allowBlank="1" showInputMessage="1" showErrorMessage="1" prompt="入力不要です" sqref="A11" xr:uid="{A8810B7E-9012-449F-AEAF-7B6FECA9525F}">
      <formula1>AND(GTE(LEN(A11),MIN((6),(9))),LTE(LEN(A11),MAX((6),(9))))</formula1>
    </dataValidation>
    <dataValidation type="custom" allowBlank="1" showInputMessage="1" showErrorMessage="1" prompt="記録の入力エラー - トラック種目の記録は７桁、_x000a_フィールド種目の記録は５桁です。" sqref="K11 K57:K63" xr:uid="{21B599BC-37D5-479F-85C5-BA763FDB26A9}">
      <formula1>AND(GTE(LEN(K11),MIN((5),(7))),LTE(LEN(K11),MAX((5),(7))))</formula1>
    </dataValidation>
    <dataValidation type="custom" allowBlank="1" showInputMessage="1" showErrorMessage="1" prompt="県の入力エラー - 県コードは「３３」です。" sqref="F11 F57:F63" xr:uid="{F542627D-D84F-483A-954E-81200C382B9C}">
      <formula1>EQ(LEN(F11),(2))</formula1>
    </dataValidation>
    <dataValidation type="custom" allowBlank="1" showInputMessage="1" showErrorMessage="1" prompt="性別の入力エラー - 性別は１桁です。" sqref="D11:E11 D57:E63" xr:uid="{5BE73A8C-1865-4417-80CA-F6242F33B324}">
      <formula1>EQ(LEN(D11),(1))</formula1>
    </dataValidation>
    <dataValidation operator="equal" allowBlank="1" showInputMessage="1" showErrorMessage="1" errorTitle="学年の入力エラー" error="学年は１桁です。" prompt="マスターズの方は年齢を入力してください。" sqref="D22:D30 D39" xr:uid="{229FB3EC-DF28-4329-90CA-F4C46AF194C3}"/>
    <dataValidation imeMode="hiragana" allowBlank="1" showInputMessage="1" showErrorMessage="1" prompt="全角で苗字と名の間は１字開ける、生徒・学生は（）で新学年を入力してください。" sqref="B30" xr:uid="{61330B2B-19B7-4690-AD92-E533510CA969}"/>
    <dataValidation type="textLength" allowBlank="1" showInputMessage="1" showErrorMessage="1" errorTitle="ＤＢコードの入力エラー" error="ＤＢコードは９桁です。_x000a_(枝番なしは６桁)" prompt="入力不要です" sqref="A12:A75" xr:uid="{00000000-0002-0000-0000-00001C000000}">
      <formula1>6</formula1>
      <formula2>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headerFooter scaleWithDoc="0" alignWithMargins="0">
    <oddFooter>&amp;C&amp;P ﾍﾟｰｼﾞ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個人一覧</vt:lpstr>
      <vt:lpstr>個人一覧!Print_Area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申込み一覧表ver.4（種目コード５桁版）</dc:title>
  <dc:creator>nogami</dc:creator>
  <cp:lastModifiedBy>靖成 波多野</cp:lastModifiedBy>
  <cp:lastPrinted>2025-10-11T13:32:33Z</cp:lastPrinted>
  <dcterms:created xsi:type="dcterms:W3CDTF">1999-05-20T01:54:59Z</dcterms:created>
  <dcterms:modified xsi:type="dcterms:W3CDTF">2025-10-11T13:42:44Z</dcterms:modified>
</cp:coreProperties>
</file>