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377d1b99c91d252b/デスクトップ/"/>
    </mc:Choice>
  </mc:AlternateContent>
  <xr:revisionPtr revIDLastSave="0" documentId="14_{D14A16F9-6B6A-4F36-92D3-6BDB71C3B796}" xr6:coauthVersionLast="47" xr6:coauthVersionMax="47" xr10:uidLastSave="{00000000-0000-0000-0000-000000000000}"/>
  <bookViews>
    <workbookView xWindow="-120" yWindow="-120" windowWidth="29040" windowHeight="15720" xr2:uid="{C4D69BC0-EA97-4F2F-9CE3-A58C33EADD0E}"/>
  </bookViews>
  <sheets>
    <sheet name="個人一覧" sheetId="1" r:id="rId1"/>
    <sheet name="リレー" sheetId="2" r:id="rId2"/>
    <sheet name="Sheet2" sheetId="4" r:id="rId3"/>
  </sheets>
  <definedNames>
    <definedName name="_xlnm._FilterDatabase" localSheetId="0" hidden="1">個人一覧!$A$1:$L$66</definedName>
    <definedName name="_xlnm.Print_Area" localSheetId="0">個人一覧!$A$1:$L$66</definedName>
    <definedName name="_xlnm.Print_Titles" localSheetId="0">個人一覧!$1:$10</definedName>
    <definedName name="種目コード">個人一覧!#REF!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Q13" i="2"/>
  <c r="Q12" i="2"/>
  <c r="Q11" i="2"/>
  <c r="Q10" i="2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R28" i="1"/>
  <c r="Q28" i="1"/>
  <c r="P28" i="1"/>
  <c r="R16" i="1"/>
  <c r="Q16" i="1"/>
  <c r="P16" i="1"/>
  <c r="Q7" i="2"/>
  <c r="Q6" i="2"/>
  <c r="J12" i="1"/>
  <c r="J11" i="1"/>
  <c r="P11" i="1"/>
  <c r="Q9" i="2"/>
  <c r="Q8" i="2"/>
  <c r="C33" i="2"/>
  <c r="R36" i="1"/>
  <c r="Q36" i="1"/>
  <c r="P36" i="1"/>
  <c r="R32" i="1"/>
  <c r="Q32" i="1"/>
  <c r="P32" i="1"/>
  <c r="R31" i="1"/>
  <c r="Q31" i="1"/>
  <c r="P31" i="1"/>
  <c r="R30" i="1"/>
  <c r="Q30" i="1"/>
  <c r="P30" i="1"/>
  <c r="P29" i="1"/>
  <c r="Q29" i="1"/>
  <c r="R29" i="1"/>
  <c r="R27" i="1"/>
  <c r="Q27" i="1"/>
  <c r="P27" i="1"/>
  <c r="Q21" i="1"/>
  <c r="R21" i="1"/>
  <c r="R20" i="1"/>
  <c r="Q20" i="1"/>
  <c r="P21" i="1"/>
  <c r="P20" i="1"/>
  <c r="R33" i="1"/>
  <c r="R35" i="1"/>
  <c r="R34" i="1"/>
  <c r="R25" i="1"/>
  <c r="R24" i="1"/>
  <c r="R23" i="1"/>
  <c r="R22" i="1"/>
  <c r="R19" i="1"/>
  <c r="R18" i="1"/>
  <c r="R17" i="1"/>
  <c r="R15" i="1"/>
  <c r="R14" i="1"/>
  <c r="Q33" i="1"/>
  <c r="Q35" i="1"/>
  <c r="Q34" i="1"/>
  <c r="Q25" i="1"/>
  <c r="Q24" i="1"/>
  <c r="Q23" i="1"/>
  <c r="Q22" i="1"/>
  <c r="Q19" i="1"/>
  <c r="Q18" i="1"/>
  <c r="Q17" i="1"/>
  <c r="Q15" i="1"/>
  <c r="Q14" i="1"/>
  <c r="P35" i="1"/>
  <c r="P33" i="1"/>
  <c r="P34" i="1"/>
  <c r="P25" i="1"/>
  <c r="P24" i="1"/>
  <c r="P23" i="1"/>
  <c r="P22" i="1"/>
  <c r="P19" i="1"/>
  <c r="P18" i="1"/>
  <c r="P17" i="1"/>
  <c r="P15" i="1"/>
  <c r="P14" i="1"/>
  <c r="G5" i="1"/>
  <c r="G6" i="1"/>
  <c r="J8" i="1"/>
  <c r="Q11" i="1"/>
  <c r="R11" i="1"/>
  <c r="P12" i="1"/>
  <c r="Q12" i="1"/>
  <c r="R12" i="1"/>
  <c r="P13" i="1"/>
  <c r="Q13" i="1"/>
  <c r="R13" i="1"/>
  <c r="P38" i="1" l="1"/>
  <c r="Q38" i="1"/>
  <c r="R38" i="1"/>
</calcChain>
</file>

<file path=xl/sharedStrings.xml><?xml version="1.0" encoding="utf-8"?>
<sst xmlns="http://schemas.openxmlformats.org/spreadsheetml/2006/main" count="150" uniqueCount="148">
  <si>
    <t>大会名：</t>
  </si>
  <si>
    <t>種目名</t>
  </si>
  <si>
    <t>記載責任者：</t>
    <phoneticPr fontId="3"/>
  </si>
  <si>
    <t>参加者数男子：</t>
    <rPh sb="0" eb="2">
      <t>サンカ</t>
    </rPh>
    <rPh sb="2" eb="3">
      <t>シャ</t>
    </rPh>
    <rPh sb="3" eb="4">
      <t>スウ</t>
    </rPh>
    <rPh sb="4" eb="6">
      <t>ダンシ</t>
    </rPh>
    <phoneticPr fontId="3"/>
  </si>
  <si>
    <t>女子：</t>
    <rPh sb="0" eb="2">
      <t>ジョシ</t>
    </rPh>
    <phoneticPr fontId="3"/>
  </si>
  <si>
    <t>種目ｺｰﾄﾞ</t>
    <phoneticPr fontId="3"/>
  </si>
  <si>
    <t>種目ｺｰﾄﾞ</t>
    <phoneticPr fontId="3"/>
  </si>
  <si>
    <t>00211</t>
    <phoneticPr fontId="3"/>
  </si>
  <si>
    <t>33</t>
    <phoneticPr fontId="3"/>
  </si>
  <si>
    <t>1</t>
    <phoneticPr fontId="3"/>
  </si>
  <si>
    <t>345</t>
    <phoneticPr fontId="3"/>
  </si>
  <si>
    <t>&lt;記入例&gt;</t>
    <rPh sb="1" eb="3">
      <t>キニュウ</t>
    </rPh>
    <rPh sb="3" eb="4">
      <t>レイ</t>
    </rPh>
    <phoneticPr fontId="3"/>
  </si>
  <si>
    <r>
      <t>記録</t>
    </r>
    <r>
      <rPr>
        <sz val="11"/>
        <color indexed="53"/>
        <rFont val="ＭＳ Ｐゴシック"/>
        <family val="3"/>
        <charset val="128"/>
      </rPr>
      <t>※</t>
    </r>
    <phoneticPr fontId="3"/>
  </si>
  <si>
    <t>種目名(自動入力）</t>
    <rPh sb="0" eb="2">
      <t>シュモク</t>
    </rPh>
    <rPh sb="2" eb="3">
      <t>メイ</t>
    </rPh>
    <rPh sb="4" eb="6">
      <t>ジドウ</t>
    </rPh>
    <rPh sb="6" eb="8">
      <t>ニュウリョク</t>
    </rPh>
    <phoneticPr fontId="3"/>
  </si>
  <si>
    <t>学校・クラブ</t>
    <phoneticPr fontId="3"/>
  </si>
  <si>
    <t>県　３３</t>
    <rPh sb="0" eb="1">
      <t>ケン</t>
    </rPh>
    <phoneticPr fontId="3"/>
  </si>
  <si>
    <t>所属名</t>
    <rPh sb="0" eb="1">
      <t>メイ</t>
    </rPh>
    <phoneticPr fontId="3"/>
  </si>
  <si>
    <r>
      <t>DBコード</t>
    </r>
    <r>
      <rPr>
        <sz val="11"/>
        <rFont val="ＭＳ Ｐゴシック"/>
        <family val="3"/>
        <charset val="128"/>
      </rPr>
      <t>(記入不要）</t>
    </r>
    <rPh sb="6" eb="8">
      <t>キニュウ</t>
    </rPh>
    <rPh sb="8" eb="10">
      <t>フヨウ</t>
    </rPh>
    <phoneticPr fontId="3"/>
  </si>
  <si>
    <t>ﾋﾞｾﾞﾝ ｲﾁﾛｳ</t>
    <phoneticPr fontId="3"/>
  </si>
  <si>
    <t>フリガナ</t>
    <phoneticPr fontId="3"/>
  </si>
  <si>
    <t>参加料</t>
    <rPh sb="0" eb="3">
      <t>サンカリョウ</t>
    </rPh>
    <phoneticPr fontId="3"/>
  </si>
  <si>
    <t>出場種目</t>
    <phoneticPr fontId="3"/>
  </si>
  <si>
    <t>男１女２</t>
    <rPh sb="0" eb="1">
      <t>オトコ</t>
    </rPh>
    <rPh sb="2" eb="3">
      <t>オンナ</t>
    </rPh>
    <phoneticPr fontId="3"/>
  </si>
  <si>
    <t>学年
年齢</t>
    <rPh sb="3" eb="5">
      <t>ネンレイ</t>
    </rPh>
    <phoneticPr fontId="3"/>
  </si>
  <si>
    <t>※記録（ベスト記録）はﾄﾗｯｸ競技７桁、ﾌｨｰﾙﾄﾞ競技５桁(4m80=00480)</t>
    <rPh sb="1" eb="3">
      <t>キロク</t>
    </rPh>
    <rPh sb="7" eb="9">
      <t>キロク</t>
    </rPh>
    <rPh sb="15" eb="17">
      <t>キョウギ</t>
    </rPh>
    <rPh sb="18" eb="19">
      <t>ケタ</t>
    </rPh>
    <rPh sb="26" eb="28">
      <t>キョウギ</t>
    </rPh>
    <rPh sb="29" eb="30">
      <t>ケタ</t>
    </rPh>
    <phoneticPr fontId="3"/>
  </si>
  <si>
    <t>電話連絡先：</t>
    <rPh sb="0" eb="2">
      <t>デンワ</t>
    </rPh>
    <rPh sb="2" eb="4">
      <t>レンラク</t>
    </rPh>
    <rPh sb="4" eb="5">
      <t>サキ</t>
    </rPh>
    <phoneticPr fontId="3"/>
  </si>
  <si>
    <t>07312</t>
    <phoneticPr fontId="3"/>
  </si>
  <si>
    <t>00820</t>
    <phoneticPr fontId="3"/>
  </si>
  <si>
    <t>中1500m</t>
    <rPh sb="0" eb="1">
      <t>チュウ</t>
    </rPh>
    <phoneticPr fontId="3"/>
  </si>
  <si>
    <t>00712</t>
    <phoneticPr fontId="3"/>
  </si>
  <si>
    <t>小低100m</t>
    <rPh sb="0" eb="1">
      <t>ショウ</t>
    </rPh>
    <rPh sb="1" eb="2">
      <t>テイ</t>
    </rPh>
    <phoneticPr fontId="3"/>
  </si>
  <si>
    <t>小高100m</t>
    <rPh sb="0" eb="1">
      <t>ショウ</t>
    </rPh>
    <rPh sb="1" eb="2">
      <t>コウ</t>
    </rPh>
    <phoneticPr fontId="3"/>
  </si>
  <si>
    <t>00212</t>
    <phoneticPr fontId="3"/>
  </si>
  <si>
    <t>00220</t>
    <phoneticPr fontId="3"/>
  </si>
  <si>
    <t>中100m</t>
    <rPh sb="0" eb="1">
      <t>チュウ</t>
    </rPh>
    <phoneticPr fontId="3"/>
  </si>
  <si>
    <t>00612</t>
    <phoneticPr fontId="3"/>
  </si>
  <si>
    <t>小高女800m</t>
    <rPh sb="0" eb="1">
      <t>ショウ</t>
    </rPh>
    <rPh sb="1" eb="2">
      <t>コウ</t>
    </rPh>
    <rPh sb="2" eb="3">
      <t>ジョ</t>
    </rPh>
    <phoneticPr fontId="3"/>
  </si>
  <si>
    <t>小高男1000m</t>
    <rPh sb="0" eb="1">
      <t>ショウ</t>
    </rPh>
    <rPh sb="1" eb="2">
      <t>コウ</t>
    </rPh>
    <rPh sb="2" eb="3">
      <t>オトコ</t>
    </rPh>
    <phoneticPr fontId="3"/>
  </si>
  <si>
    <t>00611</t>
    <phoneticPr fontId="3"/>
  </si>
  <si>
    <t>小低女800m</t>
    <rPh sb="0" eb="1">
      <t>ショウ</t>
    </rPh>
    <rPh sb="1" eb="2">
      <t>テイ</t>
    </rPh>
    <rPh sb="2" eb="3">
      <t>ジョ</t>
    </rPh>
    <phoneticPr fontId="3"/>
  </si>
  <si>
    <t>小低男1000m</t>
    <rPh sb="0" eb="1">
      <t>ショウ</t>
    </rPh>
    <rPh sb="1" eb="2">
      <t>テイ</t>
    </rPh>
    <rPh sb="2" eb="3">
      <t>オトコ</t>
    </rPh>
    <phoneticPr fontId="3"/>
  </si>
  <si>
    <t>00711</t>
    <phoneticPr fontId="3"/>
  </si>
  <si>
    <t>小高走幅跳</t>
    <rPh sb="0" eb="1">
      <t>ショウ</t>
    </rPh>
    <rPh sb="1" eb="2">
      <t>コウ</t>
    </rPh>
    <rPh sb="2" eb="3">
      <t>ソウ</t>
    </rPh>
    <rPh sb="3" eb="4">
      <t>ハバ</t>
    </rPh>
    <phoneticPr fontId="3"/>
  </si>
  <si>
    <t>07320</t>
    <phoneticPr fontId="3"/>
  </si>
  <si>
    <t>中走幅跳</t>
    <rPh sb="0" eb="1">
      <t>チュウ</t>
    </rPh>
    <rPh sb="1" eb="2">
      <t>ソウ</t>
    </rPh>
    <rPh sb="2" eb="3">
      <t>ハバ</t>
    </rPh>
    <phoneticPr fontId="3"/>
  </si>
  <si>
    <t>08320</t>
    <phoneticPr fontId="3"/>
  </si>
  <si>
    <t>08520</t>
    <phoneticPr fontId="3"/>
  </si>
  <si>
    <t>(中学2年生の例）</t>
    <rPh sb="1" eb="3">
      <t>チュウガク</t>
    </rPh>
    <rPh sb="4" eb="5">
      <t>ネン</t>
    </rPh>
    <rPh sb="7" eb="8">
      <t>レイ</t>
    </rPh>
    <phoneticPr fontId="3"/>
  </si>
  <si>
    <t>備前　一郎(2)</t>
    <rPh sb="0" eb="2">
      <t>ビゼン</t>
    </rPh>
    <rPh sb="3" eb="5">
      <t>イチロウ</t>
    </rPh>
    <phoneticPr fontId="3"/>
  </si>
  <si>
    <t>2</t>
    <phoneticPr fontId="3"/>
  </si>
  <si>
    <t>0001205</t>
    <phoneticPr fontId="3"/>
  </si>
  <si>
    <t>砲丸(70以上男4k）</t>
    <rPh sb="5" eb="7">
      <t>イジョウ</t>
    </rPh>
    <rPh sb="7" eb="8">
      <t>オトコ</t>
    </rPh>
    <phoneticPr fontId="3"/>
  </si>
  <si>
    <t>砲丸(60以上男5k）</t>
    <rPh sb="5" eb="7">
      <t>イジョウ</t>
    </rPh>
    <rPh sb="7" eb="8">
      <t>オトコ</t>
    </rPh>
    <phoneticPr fontId="3"/>
  </si>
  <si>
    <t>08360</t>
    <phoneticPr fontId="3"/>
  </si>
  <si>
    <t>08470</t>
    <phoneticPr fontId="3"/>
  </si>
  <si>
    <t>出場集計</t>
    <rPh sb="0" eb="2">
      <t>シュツジョウ</t>
    </rPh>
    <rPh sb="2" eb="4">
      <t>シュウケイ</t>
    </rPh>
    <phoneticPr fontId="3"/>
  </si>
  <si>
    <t>登録№（小学生不要）</t>
    <rPh sb="0" eb="2">
      <t>トウロク</t>
    </rPh>
    <rPh sb="4" eb="7">
      <t>ショウガクセイ</t>
    </rPh>
    <rPh sb="7" eb="9">
      <t>フヨウ</t>
    </rPh>
    <phoneticPr fontId="3"/>
  </si>
  <si>
    <t>1（男）</t>
    <rPh sb="2" eb="3">
      <t>オトコ</t>
    </rPh>
    <phoneticPr fontId="3"/>
  </si>
  <si>
    <t>2（女）</t>
    <rPh sb="2" eb="3">
      <t>オンナ</t>
    </rPh>
    <phoneticPr fontId="3"/>
  </si>
  <si>
    <t>※リレーのみの参加者も入力してください</t>
    <rPh sb="7" eb="10">
      <t>サンカシャ</t>
    </rPh>
    <rPh sb="11" eb="13">
      <t>ニュウリョク</t>
    </rPh>
    <phoneticPr fontId="3"/>
  </si>
  <si>
    <t>08250</t>
    <phoneticPr fontId="3"/>
  </si>
  <si>
    <t>備前中</t>
    <rPh sb="0" eb="2">
      <t>ビゼン</t>
    </rPh>
    <rPh sb="2" eb="3">
      <t>チュウ</t>
    </rPh>
    <phoneticPr fontId="3"/>
  </si>
  <si>
    <t>高一般マスターズ記録会</t>
    <rPh sb="0" eb="1">
      <t>コウ</t>
    </rPh>
    <rPh sb="1" eb="3">
      <t>イッパン</t>
    </rPh>
    <rPh sb="8" eb="10">
      <t>キロク</t>
    </rPh>
    <rPh sb="10" eb="11">
      <t>カイ</t>
    </rPh>
    <phoneticPr fontId="3"/>
  </si>
  <si>
    <t>100m</t>
    <phoneticPr fontId="3"/>
  </si>
  <si>
    <t>1500m</t>
    <phoneticPr fontId="3"/>
  </si>
  <si>
    <t>走幅跳</t>
    <rPh sb="0" eb="1">
      <t>ソウ</t>
    </rPh>
    <rPh sb="1" eb="2">
      <t>ハバ</t>
    </rPh>
    <phoneticPr fontId="3"/>
  </si>
  <si>
    <t>砲丸(男7.26k）</t>
    <rPh sb="3" eb="4">
      <t>オトコ</t>
    </rPh>
    <phoneticPr fontId="3"/>
  </si>
  <si>
    <t>中男110mH</t>
    <rPh sb="0" eb="1">
      <t>チュウ</t>
    </rPh>
    <rPh sb="1" eb="2">
      <t>ダン</t>
    </rPh>
    <phoneticPr fontId="3"/>
  </si>
  <si>
    <t>中女100mH</t>
    <rPh sb="0" eb="1">
      <t>チュウ</t>
    </rPh>
    <rPh sb="1" eb="2">
      <t>ジョ</t>
    </rPh>
    <phoneticPr fontId="3"/>
  </si>
  <si>
    <t>砲丸(中男5.0㎏）</t>
    <rPh sb="3" eb="4">
      <t>チュウ</t>
    </rPh>
    <phoneticPr fontId="3"/>
  </si>
  <si>
    <t>砲丸(中女2.72㎏)</t>
    <rPh sb="3" eb="4">
      <t>チュウ</t>
    </rPh>
    <phoneticPr fontId="3"/>
  </si>
  <si>
    <t>03220</t>
    <phoneticPr fontId="3"/>
  </si>
  <si>
    <t>04220</t>
    <phoneticPr fontId="3"/>
  </si>
  <si>
    <t>07330</t>
    <phoneticPr fontId="3"/>
  </si>
  <si>
    <t>08240</t>
    <phoneticPr fontId="3"/>
  </si>
  <si>
    <t>砲丸(高校男6k）</t>
    <rPh sb="3" eb="4">
      <t>コウ</t>
    </rPh>
    <rPh sb="4" eb="5">
      <t>コウ</t>
    </rPh>
    <rPh sb="5" eb="6">
      <t>オトコ</t>
    </rPh>
    <phoneticPr fontId="3"/>
  </si>
  <si>
    <t>砲丸(50以上男6k）</t>
    <rPh sb="5" eb="7">
      <t>イジョウ</t>
    </rPh>
    <rPh sb="7" eb="8">
      <t>オトコ</t>
    </rPh>
    <phoneticPr fontId="3"/>
  </si>
  <si>
    <t>砲丸(高一般女4ｋ）</t>
    <rPh sb="3" eb="4">
      <t>コウ</t>
    </rPh>
    <rPh sb="4" eb="6">
      <t>イッパン</t>
    </rPh>
    <rPh sb="6" eb="7">
      <t>ジョ</t>
    </rPh>
    <phoneticPr fontId="3"/>
  </si>
  <si>
    <t>08430</t>
    <phoneticPr fontId="3"/>
  </si>
  <si>
    <t>00230</t>
    <phoneticPr fontId="3"/>
  </si>
  <si>
    <t>00830</t>
    <phoneticPr fontId="3"/>
  </si>
  <si>
    <t>リレーのみ出場者も「個人」に入力して下さい（リレーに○）</t>
  </si>
  <si>
    <t>&lt;記入例&gt;</t>
  </si>
  <si>
    <t>記入不要</t>
  </si>
  <si>
    <t>自動入力</t>
  </si>
  <si>
    <t>所属</t>
  </si>
  <si>
    <t>記録※</t>
  </si>
  <si>
    <t>1人目</t>
  </si>
  <si>
    <t>２人目</t>
  </si>
  <si>
    <t>３人目</t>
  </si>
  <si>
    <t>4人目</t>
  </si>
  <si>
    <t>5人目</t>
  </si>
  <si>
    <t>６人目</t>
  </si>
  <si>
    <t>○○中</t>
  </si>
  <si>
    <t>04999</t>
  </si>
  <si>
    <t>346*</t>
  </si>
  <si>
    <t>347*</t>
  </si>
  <si>
    <t>348*</t>
  </si>
  <si>
    <t>349*</t>
  </si>
  <si>
    <t>350*</t>
  </si>
  <si>
    <t>351*</t>
  </si>
  <si>
    <t>1</t>
  </si>
  <si>
    <t>2</t>
  </si>
  <si>
    <t>3</t>
  </si>
  <si>
    <t>小学生高学年男子</t>
  </si>
  <si>
    <t>4</t>
  </si>
  <si>
    <t>小学生高学年女子</t>
  </si>
  <si>
    <t>中学生男子</t>
  </si>
  <si>
    <t>中学生女子</t>
  </si>
  <si>
    <t>リレー</t>
  </si>
  <si>
    <t>○Ａ</t>
    <phoneticPr fontId="3"/>
  </si>
  <si>
    <t>4×100m</t>
  </si>
  <si>
    <t>R8備前市リレーカーニバル・陸上競技選手権申込一覧</t>
    <rPh sb="2" eb="4">
      <t>ビゼン</t>
    </rPh>
    <rPh sb="4" eb="5">
      <t>シ</t>
    </rPh>
    <rPh sb="14" eb="16">
      <t>リクジョウ</t>
    </rPh>
    <rPh sb="15" eb="18">
      <t>センシュケン</t>
    </rPh>
    <rPh sb="17" eb="19">
      <t>モウシコミ</t>
    </rPh>
    <phoneticPr fontId="3"/>
  </si>
  <si>
    <t>備前市リレーカーニバル・陸上競技選手権</t>
    <rPh sb="0" eb="2">
      <t>ビゼン</t>
    </rPh>
    <rPh sb="2" eb="3">
      <t>シ</t>
    </rPh>
    <rPh sb="12" eb="14">
      <t>リクジョウ</t>
    </rPh>
    <rPh sb="14" eb="16">
      <t>キョウギ</t>
    </rPh>
    <rPh sb="16" eb="19">
      <t>センシュケン</t>
    </rPh>
    <phoneticPr fontId="3"/>
  </si>
  <si>
    <t>小学生600円・中学生800円、高一般マスターズ1000円</t>
    <rPh sb="0" eb="1">
      <t>ショウ</t>
    </rPh>
    <rPh sb="1" eb="3">
      <t>ガクセイ</t>
    </rPh>
    <rPh sb="6" eb="7">
      <t>エン</t>
    </rPh>
    <rPh sb="8" eb="11">
      <t>チュウガクセイ</t>
    </rPh>
    <rPh sb="14" eb="15">
      <t>エン</t>
    </rPh>
    <rPh sb="16" eb="17">
      <t>コウ</t>
    </rPh>
    <rPh sb="17" eb="19">
      <t>イッパン</t>
    </rPh>
    <rPh sb="28" eb="29">
      <t>エン</t>
    </rPh>
    <phoneticPr fontId="3"/>
  </si>
  <si>
    <t>00620</t>
    <phoneticPr fontId="3"/>
  </si>
  <si>
    <t>中800m</t>
    <rPh sb="0" eb="1">
      <t>チュウ</t>
    </rPh>
    <phoneticPr fontId="3"/>
  </si>
  <si>
    <t>08130</t>
    <phoneticPr fontId="3"/>
  </si>
  <si>
    <t>00630</t>
    <phoneticPr fontId="3"/>
  </si>
  <si>
    <t>800m</t>
    <phoneticPr fontId="3"/>
  </si>
  <si>
    <t>　リレーのみ出場者も「個人」に入力して下さい（リレーに○）</t>
    <phoneticPr fontId="3"/>
  </si>
  <si>
    <t>高校生以上女子</t>
    <rPh sb="0" eb="2">
      <t>コウコウ</t>
    </rPh>
    <rPh sb="2" eb="3">
      <t>セイ</t>
    </rPh>
    <rPh sb="3" eb="5">
      <t>イジョウ</t>
    </rPh>
    <rPh sb="5" eb="6">
      <t>ジョ</t>
    </rPh>
    <phoneticPr fontId="3"/>
  </si>
  <si>
    <t>8</t>
    <phoneticPr fontId="3"/>
  </si>
  <si>
    <t>高校生以上男子</t>
    <rPh sb="0" eb="2">
      <t>コウコウ</t>
    </rPh>
    <rPh sb="2" eb="3">
      <t>セイ</t>
    </rPh>
    <rPh sb="3" eb="5">
      <t>イジョウ</t>
    </rPh>
    <phoneticPr fontId="3"/>
  </si>
  <si>
    <t>7</t>
    <phoneticPr fontId="3"/>
  </si>
  <si>
    <t>6</t>
    <phoneticPr fontId="3"/>
  </si>
  <si>
    <t>5</t>
    <phoneticPr fontId="3"/>
  </si>
  <si>
    <t>小学生低学年女子</t>
    <phoneticPr fontId="3"/>
  </si>
  <si>
    <t>小学生低学年男子</t>
  </si>
  <si>
    <t>5</t>
  </si>
  <si>
    <t>ＤＢコード</t>
  </si>
  <si>
    <t>中学生は'登録番号＋*（アスタリスク）、小学生は名前入力</t>
    <rPh sb="0" eb="3">
      <t>チュウガクセイ</t>
    </rPh>
    <rPh sb="5" eb="7">
      <t>トウロク</t>
    </rPh>
    <rPh sb="7" eb="9">
      <t>バンゴウ</t>
    </rPh>
    <phoneticPr fontId="3"/>
  </si>
  <si>
    <t>リレー申込票</t>
  </si>
  <si>
    <t>1チーム1600円</t>
    <phoneticPr fontId="3"/>
  </si>
  <si>
    <t>種別（半角で）</t>
    <phoneticPr fontId="3"/>
  </si>
  <si>
    <t>R8リレーカー二バル・選手権入力データ.xls の互換性レポート</t>
  </si>
  <si>
    <t>2026/9/4 0:47 に実行</t>
  </si>
  <si>
    <t>このブックを以前のファイル形式で保存した場合、または以前のバージョンの Microsoft Excel で開いた場合、一覧表示されている機能は利用できなくなります。</t>
  </si>
  <si>
    <t>機能の大幅な損失</t>
  </si>
  <si>
    <t>出現数</t>
  </si>
  <si>
    <t>バージョン</t>
  </si>
  <si>
    <t>このブック内の一部の関数は、Excel 2007 より前のバージョンでは使用できません。これらの関数が以前のバージョンで再計算されると、現在の計算結果ではなく、#NAME? エラーが返されます。</t>
  </si>
  <si>
    <t>個人一覧'!Q11:R25</t>
  </si>
  <si>
    <t>個人一覧'!Q27:R36</t>
  </si>
  <si>
    <t>Excel 97-2003</t>
  </si>
  <si>
    <t>再現性の低下</t>
  </si>
  <si>
    <t>選択したファイル形式でサポートされていない書式が、このブック内の一部のセルまたはスタイルに設定されています。このような書式は、選択したファイル形式で使用できる最も近い書式に変換されます。</t>
  </si>
  <si>
    <t>名前(学年、一般マスターズは年齢入力、半角で）</t>
    <rPh sb="3" eb="5">
      <t>ガクネン</t>
    </rPh>
    <rPh sb="6" eb="8">
      <t>イッパン</t>
    </rPh>
    <rPh sb="14" eb="16">
      <t>ネンレイ</t>
    </rPh>
    <rPh sb="16" eb="18">
      <t>ニュウリョク</t>
    </rPh>
    <rPh sb="19" eb="21">
      <t>ハンカク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</si>
</sst>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&quot;円&quot;"/>
    <numFmt numFmtId="178" formatCode="0_);[Red]\(0\)"/>
  </numFmts>
  <fonts count="47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52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1"/>
      <color indexed="12"/>
      <name val="ＭＳ 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1"/>
      <color indexed="53"/>
      <name val="ＭＳ ゴシック"/>
      <family val="3"/>
      <charset val="128"/>
    </font>
    <font>
      <sz val="11"/>
      <color indexed="53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b/>
      <i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0"/>
      <name val="ＭＳ Ｐゴシック"/>
      <family val="3"/>
      <charset val="128"/>
    </font>
    <font>
      <u/>
      <sz val="11"/>
      <color indexed="10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1"/>
      <color theme="9"/>
      <name val="ＭＳ ゴシック"/>
      <family val="3"/>
      <charset val="128"/>
    </font>
    <font>
      <b/>
      <sz val="11"/>
      <color rgb="FF002060"/>
      <name val="ＭＳ ゴシック"/>
      <family val="3"/>
      <charset val="128"/>
    </font>
    <font>
      <b/>
      <sz val="11"/>
      <color rgb="FF002060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9"/>
      <color rgb="FF000000"/>
      <name val="ＭＳ 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64"/>
      </top>
      <bottom style="thin">
        <color indexed="12"/>
      </bottom>
      <diagonal/>
    </border>
    <border>
      <left style="thin">
        <color indexed="12"/>
      </left>
      <right style="thin">
        <color indexed="64"/>
      </right>
      <top style="thin">
        <color indexed="64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64"/>
      </top>
      <bottom/>
      <diagonal/>
    </border>
    <border>
      <left style="thin">
        <color indexed="12"/>
      </left>
      <right style="thin">
        <color indexed="12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/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39" applyNumberFormat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2" fillId="4" borderId="40" applyNumberFormat="0" applyFon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42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43" applyNumberFormat="0" applyFill="0" applyAlignment="0" applyProtection="0">
      <alignment vertical="center"/>
    </xf>
    <xf numFmtId="0" fontId="32" fillId="0" borderId="44" applyNumberFormat="0" applyFill="0" applyAlignment="0" applyProtection="0">
      <alignment vertical="center"/>
    </xf>
    <xf numFmtId="0" fontId="33" fillId="0" borderId="45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46" applyNumberFormat="0" applyFill="0" applyAlignment="0" applyProtection="0">
      <alignment vertical="center"/>
    </xf>
    <xf numFmtId="0" fontId="35" fillId="34" borderId="47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" borderId="42" applyNumberFormat="0" applyAlignment="0" applyProtection="0">
      <alignment vertical="center"/>
    </xf>
    <xf numFmtId="0" fontId="2" fillId="0" borderId="0"/>
    <xf numFmtId="0" fontId="38" fillId="0" borderId="0"/>
    <xf numFmtId="0" fontId="39" fillId="35" borderId="0" applyNumberFormat="0" applyBorder="0" applyAlignment="0" applyProtection="0">
      <alignment vertical="center"/>
    </xf>
  </cellStyleXfs>
  <cellXfs count="166">
    <xf numFmtId="0" fontId="0" fillId="0" borderId="0" xfId="0"/>
    <xf numFmtId="49" fontId="5" fillId="0" borderId="0" xfId="0" applyNumberFormat="1" applyFont="1"/>
    <xf numFmtId="49" fontId="5" fillId="0" borderId="1" xfId="0" applyNumberFormat="1" applyFont="1" applyBorder="1"/>
    <xf numFmtId="49" fontId="5" fillId="0" borderId="0" xfId="0" quotePrefix="1" applyNumberFormat="1" applyFont="1" applyAlignment="1">
      <alignment horizontal="left"/>
    </xf>
    <xf numFmtId="49" fontId="5" fillId="0" borderId="0" xfId="0" quotePrefix="1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0" xfId="0" applyNumberFormat="1"/>
    <xf numFmtId="49" fontId="0" fillId="0" borderId="2" xfId="0" applyNumberFormat="1" applyBorder="1"/>
    <xf numFmtId="49" fontId="0" fillId="0" borderId="3" xfId="0" applyNumberFormat="1" applyBorder="1"/>
    <xf numFmtId="49" fontId="7" fillId="0" borderId="0" xfId="0" applyNumberFormat="1" applyFont="1"/>
    <xf numFmtId="49" fontId="4" fillId="0" borderId="0" xfId="0" applyNumberFormat="1" applyFont="1"/>
    <xf numFmtId="49" fontId="5" fillId="0" borderId="0" xfId="0" applyNumberFormat="1" applyFont="1" applyAlignment="1">
      <alignment horizontal="left"/>
    </xf>
    <xf numFmtId="49" fontId="0" fillId="0" borderId="0" xfId="0" applyNumberFormat="1" applyAlignment="1">
      <alignment horizontal="right"/>
    </xf>
    <xf numFmtId="49" fontId="11" fillId="0" borderId="0" xfId="0" applyNumberFormat="1" applyFont="1"/>
    <xf numFmtId="49" fontId="10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center"/>
    </xf>
    <xf numFmtId="49" fontId="12" fillId="0" borderId="0" xfId="0" applyNumberFormat="1" applyFont="1" applyAlignment="1">
      <alignment horizontal="left"/>
    </xf>
    <xf numFmtId="49" fontId="10" fillId="0" borderId="3" xfId="0" applyNumberFormat="1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49" fontId="0" fillId="0" borderId="3" xfId="0" quotePrefix="1" applyNumberFormat="1" applyBorder="1" applyAlignment="1">
      <alignment horizontal="left"/>
    </xf>
    <xf numFmtId="49" fontId="0" fillId="0" borderId="3" xfId="0" applyNumberFormat="1" applyBorder="1" applyAlignment="1">
      <alignment wrapText="1"/>
    </xf>
    <xf numFmtId="0" fontId="5" fillId="2" borderId="4" xfId="0" applyFont="1" applyFill="1" applyBorder="1" applyAlignment="1" applyProtection="1">
      <alignment horizontal="center"/>
      <protection locked="0"/>
    </xf>
    <xf numFmtId="49" fontId="5" fillId="2" borderId="0" xfId="0" applyNumberFormat="1" applyFont="1" applyFill="1" applyProtection="1">
      <protection locked="0"/>
    </xf>
    <xf numFmtId="49" fontId="0" fillId="0" borderId="3" xfId="0" quotePrefix="1" applyNumberFormat="1" applyBorder="1" applyAlignment="1">
      <alignment horizontal="left" wrapText="1"/>
    </xf>
    <xf numFmtId="177" fontId="5" fillId="0" borderId="1" xfId="0" applyNumberFormat="1" applyFont="1" applyBorder="1"/>
    <xf numFmtId="49" fontId="5" fillId="0" borderId="1" xfId="0" applyNumberFormat="1" applyFont="1" applyBorder="1" applyAlignment="1">
      <alignment shrinkToFit="1"/>
    </xf>
    <xf numFmtId="49" fontId="5" fillId="0" borderId="1" xfId="0" applyNumberFormat="1" applyFont="1" applyBorder="1" applyAlignment="1">
      <alignment horizontal="left" shrinkToFit="1"/>
    </xf>
    <xf numFmtId="49" fontId="4" fillId="0" borderId="0" xfId="0" quotePrefix="1" applyNumberFormat="1" applyFont="1" applyAlignment="1">
      <alignment horizontal="left"/>
    </xf>
    <xf numFmtId="49" fontId="5" fillId="0" borderId="0" xfId="0" applyNumberFormat="1" applyFont="1" applyAlignment="1">
      <alignment shrinkToFit="1"/>
    </xf>
    <xf numFmtId="49" fontId="8" fillId="0" borderId="0" xfId="0" applyNumberFormat="1" applyFont="1"/>
    <xf numFmtId="177" fontId="5" fillId="0" borderId="0" xfId="0" applyNumberFormat="1" applyFont="1"/>
    <xf numFmtId="49" fontId="5" fillId="0" borderId="0" xfId="0" applyNumberFormat="1" applyFont="1" applyAlignment="1" applyProtection="1">
      <alignment horizontal="left"/>
      <protection locked="0"/>
    </xf>
    <xf numFmtId="49" fontId="0" fillId="0" borderId="1" xfId="0" quotePrefix="1" applyNumberFormat="1" applyBorder="1" applyAlignment="1">
      <alignment horizontal="left"/>
    </xf>
    <xf numFmtId="49" fontId="5" fillId="0" borderId="5" xfId="0" applyNumberFormat="1" applyFont="1" applyBorder="1"/>
    <xf numFmtId="49" fontId="5" fillId="0" borderId="5" xfId="0" applyNumberFormat="1" applyFont="1" applyBorder="1" applyAlignment="1">
      <alignment shrinkToFit="1"/>
    </xf>
    <xf numFmtId="49" fontId="0" fillId="5" borderId="2" xfId="0" applyNumberFormat="1" applyFill="1" applyBorder="1" applyAlignment="1">
      <alignment shrinkToFit="1"/>
    </xf>
    <xf numFmtId="49" fontId="5" fillId="0" borderId="6" xfId="0" applyNumberFormat="1" applyFont="1" applyBorder="1"/>
    <xf numFmtId="49" fontId="5" fillId="0" borderId="2" xfId="0" applyNumberFormat="1" applyFont="1" applyBorder="1"/>
    <xf numFmtId="49" fontId="5" fillId="0" borderId="0" xfId="0" applyNumberFormat="1" applyFont="1" applyAlignment="1">
      <alignment horizontal="center"/>
    </xf>
    <xf numFmtId="176" fontId="8" fillId="0" borderId="7" xfId="0" applyNumberFormat="1" applyFont="1" applyBorder="1" applyAlignment="1" applyProtection="1">
      <alignment horizontal="center"/>
      <protection locked="0"/>
    </xf>
    <xf numFmtId="176" fontId="5" fillId="2" borderId="7" xfId="0" applyNumberFormat="1" applyFont="1" applyFill="1" applyBorder="1" applyAlignment="1" applyProtection="1">
      <alignment horizontal="center"/>
      <protection locked="0"/>
    </xf>
    <xf numFmtId="176" fontId="5" fillId="2" borderId="8" xfId="0" applyNumberFormat="1" applyFont="1" applyFill="1" applyBorder="1" applyAlignment="1" applyProtection="1">
      <alignment horizontal="center"/>
      <protection locked="0"/>
    </xf>
    <xf numFmtId="176" fontId="8" fillId="0" borderId="9" xfId="0" applyNumberFormat="1" applyFont="1" applyBorder="1" applyAlignment="1" applyProtection="1">
      <alignment horizontal="center"/>
      <protection locked="0"/>
    </xf>
    <xf numFmtId="176" fontId="8" fillId="0" borderId="10" xfId="0" applyNumberFormat="1" applyFont="1" applyBorder="1" applyAlignment="1" applyProtection="1">
      <alignment horizontal="center"/>
      <protection locked="0"/>
    </xf>
    <xf numFmtId="176" fontId="5" fillId="2" borderId="10" xfId="0" applyNumberFormat="1" applyFont="1" applyFill="1" applyBorder="1" applyAlignment="1" applyProtection="1">
      <alignment horizontal="center"/>
      <protection locked="0"/>
    </xf>
    <xf numFmtId="176" fontId="5" fillId="2" borderId="11" xfId="0" applyNumberFormat="1" applyFont="1" applyFill="1" applyBorder="1" applyAlignment="1" applyProtection="1">
      <alignment horizontal="center"/>
      <protection locked="0"/>
    </xf>
    <xf numFmtId="49" fontId="40" fillId="0" borderId="0" xfId="0" applyNumberFormat="1" applyFont="1" applyAlignment="1">
      <alignment horizontal="left"/>
    </xf>
    <xf numFmtId="49" fontId="5" fillId="11" borderId="0" xfId="0" applyNumberFormat="1" applyFont="1" applyFill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176" fontId="5" fillId="0" borderId="0" xfId="0" applyNumberFormat="1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shrinkToFit="1"/>
    </xf>
    <xf numFmtId="49" fontId="41" fillId="0" borderId="0" xfId="0" applyNumberFormat="1" applyFont="1" applyAlignment="1">
      <alignment horizontal="left"/>
    </xf>
    <xf numFmtId="49" fontId="41" fillId="0" borderId="12" xfId="0" applyNumberFormat="1" applyFont="1" applyBorder="1" applyAlignment="1">
      <alignment horizontal="left"/>
    </xf>
    <xf numFmtId="49" fontId="42" fillId="0" borderId="12" xfId="0" applyNumberFormat="1" applyFont="1" applyBorder="1"/>
    <xf numFmtId="49" fontId="41" fillId="0" borderId="12" xfId="0" applyNumberFormat="1" applyFont="1" applyBorder="1" applyAlignment="1">
      <alignment horizontal="center"/>
    </xf>
    <xf numFmtId="0" fontId="5" fillId="5" borderId="13" xfId="0" applyFont="1" applyFill="1" applyBorder="1" applyAlignment="1">
      <alignment horizontal="left" vertical="center" shrinkToFit="1"/>
    </xf>
    <xf numFmtId="49" fontId="5" fillId="0" borderId="1" xfId="0" applyNumberFormat="1" applyFont="1" applyBorder="1" applyAlignment="1" applyProtection="1">
      <alignment horizontal="center"/>
      <protection locked="0"/>
    </xf>
    <xf numFmtId="0" fontId="5" fillId="5" borderId="1" xfId="0" applyFont="1" applyFill="1" applyBorder="1" applyAlignment="1">
      <alignment horizontal="left" vertical="center" shrinkToFit="1"/>
    </xf>
    <xf numFmtId="49" fontId="5" fillId="0" borderId="1" xfId="0" applyNumberFormat="1" applyFont="1" applyBorder="1" applyAlignment="1" applyProtection="1">
      <alignment horizontal="center" shrinkToFit="1"/>
      <protection locked="0"/>
    </xf>
    <xf numFmtId="49" fontId="14" fillId="0" borderId="1" xfId="0" applyNumberFormat="1" applyFont="1" applyBorder="1" applyAlignment="1" applyProtection="1">
      <alignment horizontal="center"/>
      <protection locked="0"/>
    </xf>
    <xf numFmtId="49" fontId="14" fillId="0" borderId="1" xfId="0" applyNumberFormat="1" applyFont="1" applyBorder="1" applyAlignment="1" applyProtection="1">
      <alignment horizontal="center" shrinkToFit="1"/>
      <protection locked="0"/>
    </xf>
    <xf numFmtId="178" fontId="0" fillId="0" borderId="0" xfId="0" applyNumberFormat="1"/>
    <xf numFmtId="178" fontId="0" fillId="0" borderId="1" xfId="0" applyNumberFormat="1" applyBorder="1"/>
    <xf numFmtId="178" fontId="0" fillId="0" borderId="0" xfId="0" applyNumberFormat="1" applyAlignment="1">
      <alignment horizontal="right"/>
    </xf>
    <xf numFmtId="49" fontId="0" fillId="0" borderId="3" xfId="0" applyNumberFormat="1" applyBorder="1" applyAlignment="1">
      <alignment horizontal="center"/>
    </xf>
    <xf numFmtId="49" fontId="5" fillId="0" borderId="3" xfId="0" applyNumberFormat="1" applyFont="1" applyBorder="1"/>
    <xf numFmtId="49" fontId="5" fillId="0" borderId="14" xfId="0" applyNumberFormat="1" applyFont="1" applyBorder="1" applyAlignment="1" applyProtection="1">
      <alignment horizontal="center" vertical="center"/>
      <protection locked="0"/>
    </xf>
    <xf numFmtId="0" fontId="0" fillId="0" borderId="15" xfId="0" applyBorder="1"/>
    <xf numFmtId="49" fontId="0" fillId="0" borderId="0" xfId="0" applyNumberFormat="1" applyAlignment="1">
      <alignment horizontal="center"/>
    </xf>
    <xf numFmtId="49" fontId="5" fillId="0" borderId="16" xfId="0" applyNumberFormat="1" applyFont="1" applyBorder="1" applyAlignment="1" applyProtection="1">
      <alignment horizontal="center" vertical="center"/>
      <protection locked="0"/>
    </xf>
    <xf numFmtId="0" fontId="0" fillId="0" borderId="17" xfId="0" applyBorder="1"/>
    <xf numFmtId="0" fontId="0" fillId="0" borderId="18" xfId="0" applyBorder="1"/>
    <xf numFmtId="176" fontId="5" fillId="0" borderId="1" xfId="0" applyNumberFormat="1" applyFont="1" applyBorder="1" applyAlignment="1" applyProtection="1">
      <alignment horizontal="right"/>
      <protection locked="0"/>
    </xf>
    <xf numFmtId="49" fontId="5" fillId="0" borderId="1" xfId="0" applyNumberFormat="1" applyFont="1" applyBorder="1" applyAlignment="1" applyProtection="1">
      <alignment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178" fontId="5" fillId="0" borderId="1" xfId="0" applyNumberFormat="1" applyFont="1" applyBorder="1" applyAlignment="1" applyProtection="1">
      <alignment horizontal="center"/>
      <protection locked="0"/>
    </xf>
    <xf numFmtId="49" fontId="5" fillId="0" borderId="1" xfId="0" applyNumberFormat="1" applyFont="1" applyBorder="1" applyAlignment="1" applyProtection="1">
      <alignment horizontal="left"/>
      <protection locked="0"/>
    </xf>
    <xf numFmtId="0" fontId="43" fillId="0" borderId="1" xfId="0" applyFont="1" applyBorder="1" applyAlignment="1" applyProtection="1">
      <alignment horizontal="center"/>
      <protection locked="0"/>
    </xf>
    <xf numFmtId="0" fontId="6" fillId="5" borderId="19" xfId="0" applyFont="1" applyFill="1" applyBorder="1" applyAlignment="1">
      <alignment horizontal="left" vertical="center"/>
    </xf>
    <xf numFmtId="49" fontId="5" fillId="0" borderId="19" xfId="0" applyNumberFormat="1" applyFont="1" applyBorder="1" applyAlignment="1" applyProtection="1">
      <alignment vertical="center"/>
      <protection locked="0"/>
    </xf>
    <xf numFmtId="49" fontId="5" fillId="0" borderId="19" xfId="0" applyNumberFormat="1" applyFont="1" applyBorder="1" applyAlignment="1" applyProtection="1">
      <alignment horizontal="left" vertical="center"/>
      <protection locked="0"/>
    </xf>
    <xf numFmtId="49" fontId="5" fillId="6" borderId="1" xfId="0" applyNumberFormat="1" applyFont="1" applyFill="1" applyBorder="1" applyAlignment="1" applyProtection="1">
      <alignment horizontal="left" vertical="center"/>
      <protection locked="0"/>
    </xf>
    <xf numFmtId="49" fontId="5" fillId="6" borderId="1" xfId="0" applyNumberFormat="1" applyFont="1" applyFill="1" applyBorder="1" applyAlignment="1" applyProtection="1">
      <alignment horizontal="center" vertical="center"/>
      <protection locked="0"/>
    </xf>
    <xf numFmtId="49" fontId="19" fillId="0" borderId="1" xfId="0" applyNumberFormat="1" applyFont="1" applyBorder="1" applyAlignment="1" applyProtection="1">
      <alignment horizontal="left"/>
      <protection locked="0"/>
    </xf>
    <xf numFmtId="49" fontId="5" fillId="0" borderId="20" xfId="0" applyNumberFormat="1" applyFont="1" applyBorder="1" applyAlignment="1" applyProtection="1">
      <alignment horizontal="left"/>
      <protection locked="0"/>
    </xf>
    <xf numFmtId="0" fontId="5" fillId="0" borderId="21" xfId="0" applyFont="1" applyBorder="1" applyAlignment="1">
      <alignment horizontal="left" vertical="center"/>
    </xf>
    <xf numFmtId="49" fontId="5" fillId="0" borderId="14" xfId="0" applyNumberFormat="1" applyFont="1" applyBorder="1" applyAlignment="1" applyProtection="1">
      <alignment horizontal="left" vertical="center"/>
      <protection locked="0"/>
    </xf>
    <xf numFmtId="0" fontId="14" fillId="0" borderId="1" xfId="0" applyFont="1" applyBorder="1" applyAlignment="1">
      <alignment horizontal="left" vertical="center"/>
    </xf>
    <xf numFmtId="0" fontId="44" fillId="0" borderId="1" xfId="0" applyFont="1" applyBorder="1" applyAlignment="1" applyProtection="1">
      <alignment horizontal="center"/>
      <protection locked="0"/>
    </xf>
    <xf numFmtId="0" fontId="20" fillId="0" borderId="0" xfId="0" applyFont="1"/>
    <xf numFmtId="49" fontId="45" fillId="0" borderId="1" xfId="0" applyNumberFormat="1" applyFont="1" applyBorder="1" applyAlignment="1" applyProtection="1">
      <alignment horizontal="center" shrinkToFit="1"/>
      <protection locked="0"/>
    </xf>
    <xf numFmtId="49" fontId="45" fillId="0" borderId="1" xfId="0" applyNumberFormat="1" applyFont="1" applyBorder="1" applyAlignment="1" applyProtection="1">
      <alignment horizontal="center"/>
      <protection locked="0"/>
    </xf>
    <xf numFmtId="0" fontId="45" fillId="36" borderId="20" xfId="0" applyFont="1" applyFill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center" shrinkToFit="1"/>
    </xf>
    <xf numFmtId="176" fontId="45" fillId="0" borderId="17" xfId="0" applyNumberFormat="1" applyFont="1" applyBorder="1" applyAlignment="1" applyProtection="1">
      <alignment horizontal="center"/>
      <protection locked="0"/>
    </xf>
    <xf numFmtId="49" fontId="45" fillId="0" borderId="1" xfId="0" applyNumberFormat="1" applyFont="1" applyBorder="1" applyAlignment="1">
      <alignment horizontal="center" shrinkToFit="1"/>
    </xf>
    <xf numFmtId="49" fontId="0" fillId="0" borderId="1" xfId="0" applyNumberFormat="1" applyBorder="1" applyAlignment="1" applyProtection="1">
      <alignment horizontal="center" shrinkToFit="1"/>
      <protection locked="0"/>
    </xf>
    <xf numFmtId="49" fontId="46" fillId="0" borderId="1" xfId="0" applyNumberFormat="1" applyFont="1" applyBorder="1" applyAlignment="1" applyProtection="1">
      <alignment horizontal="center" vertical="center" shrinkToFit="1"/>
      <protection locked="0"/>
    </xf>
    <xf numFmtId="49" fontId="19" fillId="6" borderId="1" xfId="0" applyNumberFormat="1" applyFont="1" applyFill="1" applyBorder="1" applyAlignment="1" applyProtection="1">
      <alignment horizontal="left" vertical="center"/>
      <protection locked="0"/>
    </xf>
    <xf numFmtId="0" fontId="19" fillId="0" borderId="1" xfId="0" applyFont="1" applyBorder="1" applyAlignment="1">
      <alignment vertical="center" wrapText="1"/>
    </xf>
    <xf numFmtId="49" fontId="19" fillId="0" borderId="1" xfId="0" applyNumberFormat="1" applyFont="1" applyBorder="1" applyAlignment="1" applyProtection="1">
      <alignment horizontal="left" vertical="center"/>
      <protection locked="0"/>
    </xf>
    <xf numFmtId="0" fontId="5" fillId="5" borderId="26" xfId="0" applyFont="1" applyFill="1" applyBorder="1" applyAlignment="1">
      <alignment horizontal="left" vertical="center" shrinkToFit="1"/>
    </xf>
    <xf numFmtId="49" fontId="19" fillId="0" borderId="20" xfId="0" applyNumberFormat="1" applyFont="1" applyBorder="1" applyAlignment="1" applyProtection="1">
      <alignment horizontal="left" vertical="center"/>
      <protection locked="0"/>
    </xf>
    <xf numFmtId="49" fontId="46" fillId="0" borderId="1" xfId="0" applyNumberFormat="1" applyFont="1" applyBorder="1" applyAlignment="1">
      <alignment horizontal="center" vertical="center" shrinkToFit="1"/>
    </xf>
    <xf numFmtId="0" fontId="19" fillId="0" borderId="20" xfId="0" applyFont="1" applyBorder="1" applyAlignment="1">
      <alignment vertical="center"/>
    </xf>
    <xf numFmtId="0" fontId="5" fillId="5" borderId="20" xfId="0" applyFont="1" applyFill="1" applyBorder="1" applyAlignment="1">
      <alignment horizontal="left" vertical="center" shrinkToFit="1"/>
    </xf>
    <xf numFmtId="49" fontId="5" fillId="0" borderId="20" xfId="0" applyNumberFormat="1" applyFont="1" applyBorder="1" applyAlignment="1" applyProtection="1">
      <alignment horizontal="center" vertical="center"/>
      <protection locked="0"/>
    </xf>
    <xf numFmtId="49" fontId="14" fillId="0" borderId="27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 applyProtection="1">
      <alignment horizontal="center" vertical="center"/>
      <protection locked="0"/>
    </xf>
    <xf numFmtId="0" fontId="5" fillId="5" borderId="20" xfId="0" applyFont="1" applyFill="1" applyBorder="1" applyAlignment="1">
      <alignment horizontal="left" shrinkToFit="1"/>
    </xf>
    <xf numFmtId="0" fontId="0" fillId="0" borderId="1" xfId="0" applyBorder="1"/>
    <xf numFmtId="49" fontId="45" fillId="0" borderId="1" xfId="0" applyNumberFormat="1" applyFont="1" applyBorder="1" applyAlignment="1" applyProtection="1">
      <alignment horizontal="center" vertical="center" shrinkToFit="1"/>
      <protection locked="0"/>
    </xf>
    <xf numFmtId="49" fontId="45" fillId="0" borderId="1" xfId="0" applyNumberFormat="1" applyFont="1" applyBorder="1" applyAlignment="1" applyProtection="1">
      <alignment horizontal="center" vertical="center"/>
      <protection locked="0"/>
    </xf>
    <xf numFmtId="0" fontId="45" fillId="36" borderId="20" xfId="0" applyFont="1" applyFill="1" applyBorder="1" applyAlignment="1">
      <alignment horizontal="left" shrinkToFit="1"/>
    </xf>
    <xf numFmtId="49" fontId="45" fillId="0" borderId="1" xfId="0" applyNumberFormat="1" applyFont="1" applyBorder="1" applyAlignment="1">
      <alignment horizontal="center" vertical="center" shrinkToFit="1"/>
    </xf>
    <xf numFmtId="49" fontId="45" fillId="0" borderId="20" xfId="0" applyNumberFormat="1" applyFont="1" applyBorder="1" applyAlignment="1" applyProtection="1">
      <alignment horizontal="center" vertical="center"/>
      <protection locked="0"/>
    </xf>
    <xf numFmtId="49" fontId="18" fillId="0" borderId="1" xfId="0" applyNumberFormat="1" applyFont="1" applyBorder="1" applyAlignment="1">
      <alignment horizontal="center"/>
    </xf>
    <xf numFmtId="49" fontId="45" fillId="0" borderId="20" xfId="0" applyNumberFormat="1" applyFont="1" applyBorder="1" applyAlignment="1" applyProtection="1">
      <alignment horizontal="center"/>
      <protection locked="0"/>
    </xf>
    <xf numFmtId="49" fontId="45" fillId="0" borderId="19" xfId="0" applyNumberFormat="1" applyFont="1" applyBorder="1" applyAlignment="1" applyProtection="1">
      <alignment horizontal="center" shrinkToFit="1"/>
      <protection locked="0"/>
    </xf>
    <xf numFmtId="49" fontId="45" fillId="0" borderId="19" xfId="0" applyNumberFormat="1" applyFont="1" applyBorder="1" applyAlignment="1">
      <alignment horizontal="center" shrinkToFit="1"/>
    </xf>
    <xf numFmtId="49" fontId="45" fillId="0" borderId="19" xfId="0" applyNumberFormat="1" applyFont="1" applyBorder="1" applyAlignment="1" applyProtection="1">
      <alignment horizontal="center"/>
      <protection locked="0"/>
    </xf>
    <xf numFmtId="49" fontId="5" fillId="0" borderId="5" xfId="0" applyNumberFormat="1" applyFont="1" applyBorder="1" applyAlignment="1">
      <alignment horizontal="center" shrinkToFit="1"/>
    </xf>
    <xf numFmtId="49" fontId="45" fillId="0" borderId="17" xfId="0" applyNumberFormat="1" applyFont="1" applyBorder="1" applyAlignment="1" applyProtection="1">
      <alignment horizontal="center"/>
      <protection locked="0"/>
    </xf>
    <xf numFmtId="49" fontId="5" fillId="0" borderId="12" xfId="0" applyNumberFormat="1" applyFont="1" applyBorder="1" applyAlignment="1">
      <alignment horizontal="center"/>
    </xf>
    <xf numFmtId="49" fontId="5" fillId="0" borderId="13" xfId="0" applyNumberFormat="1" applyFont="1" applyBorder="1" applyAlignment="1" applyProtection="1">
      <alignment horizontal="center" shrinkToFit="1"/>
      <protection locked="0"/>
    </xf>
    <xf numFmtId="49" fontId="5" fillId="0" borderId="13" xfId="0" applyNumberFormat="1" applyFont="1" applyBorder="1" applyAlignment="1" applyProtection="1">
      <alignment horizontal="center"/>
      <protection locked="0"/>
    </xf>
    <xf numFmtId="49" fontId="5" fillId="0" borderId="12" xfId="0" quotePrefix="1" applyNumberFormat="1" applyFont="1" applyBorder="1" applyAlignment="1">
      <alignment horizontal="left" shrinkToFit="1"/>
    </xf>
    <xf numFmtId="49" fontId="5" fillId="0" borderId="12" xfId="0" applyNumberFormat="1" applyFont="1" applyBorder="1" applyAlignment="1">
      <alignment horizontal="center" shrinkToFit="1"/>
    </xf>
    <xf numFmtId="49" fontId="5" fillId="0" borderId="12" xfId="0" applyNumberFormat="1" applyFont="1" applyBorder="1" applyAlignment="1">
      <alignment shrinkToFit="1"/>
    </xf>
    <xf numFmtId="49" fontId="41" fillId="37" borderId="12" xfId="0" applyNumberFormat="1" applyFont="1" applyFill="1" applyBorder="1" applyAlignment="1">
      <alignment horizontal="center" shrinkToFit="1"/>
    </xf>
    <xf numFmtId="49" fontId="21" fillId="0" borderId="0" xfId="0" quotePrefix="1" applyNumberFormat="1" applyFont="1" applyAlignment="1">
      <alignment horizontal="left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32" xfId="0" applyBorder="1" applyAlignment="1">
      <alignment vertical="top" wrapText="1"/>
    </xf>
    <xf numFmtId="0" fontId="0" fillId="0" borderId="33" xfId="0" applyBorder="1" applyAlignment="1">
      <alignment vertical="top" wrapText="1"/>
    </xf>
    <xf numFmtId="0" fontId="0" fillId="0" borderId="34" xfId="0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29" xfId="0" applyBorder="1" applyAlignment="1">
      <alignment horizontal="center" vertical="top" wrapText="1"/>
    </xf>
    <xf numFmtId="0" fontId="0" fillId="0" borderId="35" xfId="0" applyBorder="1" applyAlignment="1">
      <alignment horizontal="center" vertical="top" wrapText="1"/>
    </xf>
    <xf numFmtId="0" fontId="9" fillId="0" borderId="0" xfId="28" quotePrefix="1" applyNumberFormat="1" applyAlignment="1" applyProtection="1">
      <alignment horizontal="center" vertical="top" wrapText="1"/>
    </xf>
    <xf numFmtId="0" fontId="0" fillId="0" borderId="36" xfId="0" applyBorder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9" fillId="0" borderId="32" xfId="28" quotePrefix="1" applyNumberFormat="1" applyBorder="1" applyAlignment="1" applyProtection="1">
      <alignment horizontal="center" vertical="top" wrapText="1"/>
    </xf>
    <xf numFmtId="0" fontId="0" fillId="0" borderId="37" xfId="0" applyBorder="1" applyAlignment="1">
      <alignment horizontal="center" vertical="top" wrapText="1"/>
    </xf>
    <xf numFmtId="0" fontId="0" fillId="0" borderId="34" xfId="0" applyBorder="1" applyAlignment="1">
      <alignment horizontal="center" vertical="top" wrapText="1"/>
    </xf>
    <xf numFmtId="0" fontId="0" fillId="0" borderId="38" xfId="0" applyBorder="1" applyAlignment="1">
      <alignment horizontal="center" vertical="top" wrapText="1"/>
    </xf>
    <xf numFmtId="49" fontId="5" fillId="2" borderId="0" xfId="0" applyNumberFormat="1" applyFont="1" applyFill="1" applyAlignment="1" applyProtection="1">
      <alignment horizontal="left"/>
      <protection locked="0"/>
    </xf>
    <xf numFmtId="49" fontId="0" fillId="0" borderId="22" xfId="0" applyNumberFormat="1" applyBorder="1" applyAlignment="1">
      <alignment horizontal="center"/>
    </xf>
    <xf numFmtId="49" fontId="0" fillId="0" borderId="23" xfId="0" applyNumberFormat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178" fontId="18" fillId="0" borderId="17" xfId="0" applyNumberFormat="1" applyFont="1" applyBorder="1"/>
    <xf numFmtId="178" fontId="18" fillId="0" borderId="25" xfId="0" applyNumberFormat="1" applyFont="1" applyBorder="1"/>
    <xf numFmtId="178" fontId="18" fillId="0" borderId="20" xfId="0" applyNumberFormat="1" applyFont="1" applyBorder="1"/>
    <xf numFmtId="178" fontId="18" fillId="0" borderId="17" xfId="0" applyNumberFormat="1" applyFont="1" applyBorder="1" applyAlignment="1">
      <alignment horizontal="left"/>
    </xf>
    <xf numFmtId="178" fontId="18" fillId="0" borderId="25" xfId="0" applyNumberFormat="1" applyFont="1" applyBorder="1" applyAlignment="1">
      <alignment horizontal="left"/>
    </xf>
    <xf numFmtId="178" fontId="18" fillId="0" borderId="20" xfId="0" applyNumberFormat="1" applyFont="1" applyBorder="1" applyAlignment="1">
      <alignment horizontal="left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81463B47-6A13-4A68-B6DE-A7364FEF11E2}"/>
    <cellStyle name="標準 3" xfId="43" xr:uid="{2A98218E-2A4E-4ADB-BB44-94F0F2D3285D}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16225-0C84-4EC7-9C40-D5DF3FD0DD99}">
  <dimension ref="A1:R66"/>
  <sheetViews>
    <sheetView tabSelected="1" zoomScaleNormal="100" zoomScaleSheetLayoutView="50" workbookViewId="0">
      <selection activeCell="A10" sqref="A10"/>
    </sheetView>
  </sheetViews>
  <sheetFormatPr defaultRowHeight="13.5" x14ac:dyDescent="0.15"/>
  <cols>
    <col min="1" max="1" width="10.375" style="1" customWidth="1"/>
    <col min="2" max="2" width="20.5" style="1" customWidth="1"/>
    <col min="3" max="3" width="14.25" style="1" customWidth="1"/>
    <col min="4" max="4" width="5.375" style="1" customWidth="1"/>
    <col min="5" max="5" width="4.875" style="1" customWidth="1"/>
    <col min="6" max="6" width="4.375" style="1" customWidth="1"/>
    <col min="7" max="7" width="14.125" style="1" customWidth="1"/>
    <col min="8" max="8" width="6.25" style="1" customWidth="1"/>
    <col min="9" max="9" width="12" style="1" customWidth="1"/>
    <col min="10" max="10" width="18.375" style="1" customWidth="1"/>
    <col min="11" max="11" width="12.5" style="1" customWidth="1"/>
    <col min="12" max="13" width="9" style="1" customWidth="1"/>
    <col min="14" max="14" width="9.5" style="1" customWidth="1"/>
    <col min="15" max="15" width="17.375" style="1" customWidth="1"/>
    <col min="16" max="17" width="9" style="1" customWidth="1"/>
    <col min="18" max="18" width="9.5" style="1" bestFit="1" customWidth="1"/>
    <col min="19" max="16384" width="9" style="1"/>
  </cols>
  <sheetData>
    <row r="1" spans="1:18" x14ac:dyDescent="0.15">
      <c r="A1" s="3" t="s">
        <v>112</v>
      </c>
      <c r="I1" s="1" t="s">
        <v>20</v>
      </c>
      <c r="J1" s="25"/>
    </row>
    <row r="2" spans="1:18" x14ac:dyDescent="0.15">
      <c r="B2" s="3"/>
      <c r="I2" s="30" t="s">
        <v>114</v>
      </c>
      <c r="J2" s="31"/>
    </row>
    <row r="3" spans="1:18" x14ac:dyDescent="0.15">
      <c r="J3" s="3" t="s">
        <v>2</v>
      </c>
      <c r="K3" s="48"/>
    </row>
    <row r="4" spans="1:18" x14ac:dyDescent="0.15">
      <c r="A4" s="4" t="s">
        <v>0</v>
      </c>
      <c r="B4" s="156" t="s">
        <v>113</v>
      </c>
      <c r="C4" s="156"/>
      <c r="D4" s="156"/>
      <c r="E4" s="156"/>
      <c r="F4" s="156"/>
      <c r="G4" s="12"/>
      <c r="H4" s="4" t="s">
        <v>14</v>
      </c>
      <c r="I4" s="23"/>
      <c r="J4" s="32" t="s">
        <v>25</v>
      </c>
      <c r="K4" s="48"/>
    </row>
    <row r="5" spans="1:18" x14ac:dyDescent="0.15">
      <c r="A5" s="94" t="s">
        <v>120</v>
      </c>
      <c r="F5" s="5" t="s">
        <v>3</v>
      </c>
      <c r="G5" s="22">
        <f>COUNTIF(E11:E66,"1")</f>
        <v>0</v>
      </c>
      <c r="L5" s="10"/>
      <c r="M5" s="10"/>
    </row>
    <row r="6" spans="1:18" ht="14.25" thickBot="1" x14ac:dyDescent="0.2">
      <c r="F6" s="5" t="s">
        <v>4</v>
      </c>
      <c r="G6" s="22">
        <f>COUNTIF(E11:E66,"2")</f>
        <v>0</v>
      </c>
      <c r="I6" s="11"/>
    </row>
    <row r="7" spans="1:18" ht="14.25" thickBot="1" x14ac:dyDescent="0.2">
      <c r="A7" s="15" t="s">
        <v>11</v>
      </c>
      <c r="B7" s="14" t="s">
        <v>47</v>
      </c>
      <c r="C7" s="13"/>
      <c r="D7" s="7"/>
      <c r="E7" s="7"/>
      <c r="F7" s="7"/>
      <c r="G7" s="7"/>
      <c r="H7" s="7"/>
      <c r="I7" s="157" t="s">
        <v>21</v>
      </c>
      <c r="J7" s="158"/>
      <c r="K7" s="159"/>
      <c r="L7" s="68" t="s">
        <v>109</v>
      </c>
      <c r="M7" s="72"/>
      <c r="N7" s="28"/>
      <c r="O7" s="7"/>
    </row>
    <row r="8" spans="1:18" ht="14.25" thickBot="1" x14ac:dyDescent="0.2">
      <c r="A8" s="18"/>
      <c r="B8" s="18" t="s">
        <v>48</v>
      </c>
      <c r="C8" s="18" t="s">
        <v>18</v>
      </c>
      <c r="D8" s="18" t="s">
        <v>49</v>
      </c>
      <c r="E8" s="18" t="s">
        <v>9</v>
      </c>
      <c r="F8" s="18" t="s">
        <v>8</v>
      </c>
      <c r="G8" s="49" t="s">
        <v>61</v>
      </c>
      <c r="H8" s="18" t="s">
        <v>10</v>
      </c>
      <c r="I8" s="18" t="s">
        <v>33</v>
      </c>
      <c r="J8" s="19" t="str">
        <f>VLOOKUP(I8,$N$7:$O$30,2,FALSE)</f>
        <v>中100m</v>
      </c>
      <c r="K8" s="18" t="s">
        <v>50</v>
      </c>
      <c r="L8" s="18" t="s">
        <v>110</v>
      </c>
      <c r="M8" s="15"/>
      <c r="O8" s="29"/>
    </row>
    <row r="9" spans="1:18" ht="14.25" thickBot="1" x14ac:dyDescent="0.2">
      <c r="A9" s="47" t="s">
        <v>59</v>
      </c>
      <c r="B9" s="15"/>
      <c r="C9" s="15"/>
      <c r="D9" s="15"/>
      <c r="E9" s="15"/>
      <c r="F9" s="15"/>
      <c r="G9" s="17" t="s">
        <v>24</v>
      </c>
      <c r="H9" s="15"/>
      <c r="J9" s="16"/>
      <c r="L9" s="15"/>
      <c r="M9" s="15"/>
      <c r="O9" s="29"/>
      <c r="Q9" s="37" t="s">
        <v>55</v>
      </c>
      <c r="R9" s="38"/>
    </row>
    <row r="10" spans="1:18" ht="73.5" customHeight="1" thickBot="1" x14ac:dyDescent="0.2">
      <c r="A10" s="24" t="s">
        <v>17</v>
      </c>
      <c r="B10" s="21" t="s">
        <v>147</v>
      </c>
      <c r="C10" s="9" t="s">
        <v>19</v>
      </c>
      <c r="D10" s="21" t="s">
        <v>23</v>
      </c>
      <c r="E10" s="21" t="s">
        <v>22</v>
      </c>
      <c r="F10" s="21" t="s">
        <v>15</v>
      </c>
      <c r="G10" s="20" t="s">
        <v>16</v>
      </c>
      <c r="H10" s="24" t="s">
        <v>56</v>
      </c>
      <c r="I10" s="8" t="s">
        <v>6</v>
      </c>
      <c r="J10" s="36" t="s">
        <v>13</v>
      </c>
      <c r="K10" s="9" t="s">
        <v>12</v>
      </c>
      <c r="L10" s="69" t="s">
        <v>111</v>
      </c>
      <c r="N10" s="33" t="s">
        <v>5</v>
      </c>
      <c r="O10" s="6" t="s">
        <v>1</v>
      </c>
      <c r="Q10" s="39" t="s">
        <v>57</v>
      </c>
      <c r="R10" s="39" t="s">
        <v>58</v>
      </c>
    </row>
    <row r="11" spans="1:18" ht="15" customHeight="1" x14ac:dyDescent="0.15">
      <c r="A11" s="76"/>
      <c r="B11" s="77"/>
      <c r="C11" s="78"/>
      <c r="D11" s="79"/>
      <c r="E11" s="80"/>
      <c r="F11" s="81"/>
      <c r="G11" s="81"/>
      <c r="H11" s="93"/>
      <c r="I11" s="2"/>
      <c r="J11" s="83" t="str">
        <f t="shared" ref="J11:J66" si="0">IF(I11="","",VLOOKUP(I11,$N$7:$O$36,2,FALSE))</f>
        <v/>
      </c>
      <c r="K11" s="84"/>
      <c r="L11" s="70"/>
      <c r="M11" s="73"/>
      <c r="N11" s="2" t="s">
        <v>7</v>
      </c>
      <c r="O11" s="26" t="s">
        <v>30</v>
      </c>
      <c r="P11" s="40">
        <f>COUNTIF(I11:I66,"00211")</f>
        <v>0</v>
      </c>
      <c r="Q11" s="41">
        <f>COUNTIFS(E11:E66,1,I11:I66,211)</f>
        <v>0</v>
      </c>
      <c r="R11" s="42">
        <f>COUNTIFS(E11:E66,2,I11:I66,211)</f>
        <v>0</v>
      </c>
    </row>
    <row r="12" spans="1:18" ht="15" customHeight="1" x14ac:dyDescent="0.15">
      <c r="A12" s="76"/>
      <c r="B12" s="77"/>
      <c r="C12" s="78"/>
      <c r="D12" s="79"/>
      <c r="E12" s="80"/>
      <c r="F12" s="81"/>
      <c r="G12" s="81"/>
      <c r="H12" s="82"/>
      <c r="I12" s="2"/>
      <c r="J12" s="83" t="str">
        <f t="shared" si="0"/>
        <v/>
      </c>
      <c r="K12" s="84"/>
      <c r="L12" s="70"/>
      <c r="M12" s="73"/>
      <c r="N12" s="2" t="s">
        <v>32</v>
      </c>
      <c r="O12" s="26" t="s">
        <v>31</v>
      </c>
      <c r="P12" s="40">
        <f>COUNTIF(I11:I66,"00212")</f>
        <v>0</v>
      </c>
      <c r="Q12" s="41">
        <f>COUNTIFS(E11:E66,1,I11:I66,212)</f>
        <v>0</v>
      </c>
      <c r="R12" s="42">
        <f>COUNTIFS(E11:E66,2,I11:I66,212)</f>
        <v>0</v>
      </c>
    </row>
    <row r="13" spans="1:18" ht="15" customHeight="1" x14ac:dyDescent="0.15">
      <c r="A13" s="76"/>
      <c r="B13" s="77"/>
      <c r="C13" s="78"/>
      <c r="D13" s="79"/>
      <c r="E13" s="80"/>
      <c r="F13" s="81"/>
      <c r="G13" s="81"/>
      <c r="H13" s="82"/>
      <c r="I13" s="2"/>
      <c r="J13" s="83" t="str">
        <f t="shared" si="0"/>
        <v/>
      </c>
      <c r="K13" s="84"/>
      <c r="L13" s="70"/>
      <c r="M13" s="73"/>
      <c r="N13" s="2" t="s">
        <v>33</v>
      </c>
      <c r="O13" s="26" t="s">
        <v>34</v>
      </c>
      <c r="P13" s="40">
        <f>COUNTIF(I11:I66,"00220")</f>
        <v>0</v>
      </c>
      <c r="Q13" s="41">
        <f>COUNTIFS(E11:E66,1,I11:I66,220)</f>
        <v>0</v>
      </c>
      <c r="R13" s="42">
        <f>COUNTIFS(E11:E66,2,I11:I66,220)</f>
        <v>0</v>
      </c>
    </row>
    <row r="14" spans="1:18" ht="15" customHeight="1" x14ac:dyDescent="0.15">
      <c r="A14" s="76"/>
      <c r="B14" s="77"/>
      <c r="C14" s="78"/>
      <c r="D14" s="79"/>
      <c r="E14" s="80"/>
      <c r="F14" s="81"/>
      <c r="G14" s="81"/>
      <c r="H14" s="82"/>
      <c r="I14" s="2"/>
      <c r="J14" s="83" t="str">
        <f t="shared" si="0"/>
        <v/>
      </c>
      <c r="K14" s="84"/>
      <c r="L14" s="70"/>
      <c r="M14" s="73"/>
      <c r="N14" s="2" t="s">
        <v>38</v>
      </c>
      <c r="O14" s="26" t="s">
        <v>39</v>
      </c>
      <c r="P14" s="40">
        <f>COUNTIF(I11:I66,"00611.")</f>
        <v>0</v>
      </c>
      <c r="Q14" s="41">
        <f>COUNTIFS(E10:E66,1,I10:I66,611)</f>
        <v>0</v>
      </c>
      <c r="R14" s="42">
        <f>COUNTIFS(E10:E66,2,I10:I66,611)</f>
        <v>0</v>
      </c>
    </row>
    <row r="15" spans="1:18" ht="15" customHeight="1" x14ac:dyDescent="0.15">
      <c r="A15" s="76"/>
      <c r="B15" s="77"/>
      <c r="C15" s="78"/>
      <c r="D15" s="79"/>
      <c r="E15" s="80"/>
      <c r="F15" s="81"/>
      <c r="G15" s="81"/>
      <c r="H15" s="82"/>
      <c r="I15" s="2"/>
      <c r="J15" s="83" t="str">
        <f t="shared" si="0"/>
        <v/>
      </c>
      <c r="K15" s="84"/>
      <c r="L15" s="70"/>
      <c r="M15" s="74"/>
      <c r="N15" s="2" t="s">
        <v>35</v>
      </c>
      <c r="O15" s="26" t="s">
        <v>36</v>
      </c>
      <c r="P15" s="40">
        <f>COUNTIF(I11:I66,"00612")</f>
        <v>0</v>
      </c>
      <c r="Q15" s="41">
        <f>COUNTIFS(E10:E66,1,I10:I66,612)</f>
        <v>0</v>
      </c>
      <c r="R15" s="42">
        <f>COUNTIFS(E10:E66,2,I10:I66,612)</f>
        <v>0</v>
      </c>
    </row>
    <row r="16" spans="1:18" ht="15" customHeight="1" x14ac:dyDescent="0.15">
      <c r="A16" s="76"/>
      <c r="B16" s="77"/>
      <c r="C16" s="78"/>
      <c r="D16" s="79"/>
      <c r="E16" s="80"/>
      <c r="F16" s="81"/>
      <c r="G16" s="81"/>
      <c r="H16" s="82"/>
      <c r="I16" s="2"/>
      <c r="J16" s="83" t="str">
        <f t="shared" si="0"/>
        <v/>
      </c>
      <c r="K16" s="84"/>
      <c r="L16" s="70"/>
      <c r="M16" s="74"/>
      <c r="N16" s="2" t="s">
        <v>115</v>
      </c>
      <c r="O16" s="26" t="s">
        <v>116</v>
      </c>
      <c r="P16" s="40">
        <f>COUNTIF(I12:I67,"00620")</f>
        <v>0</v>
      </c>
      <c r="Q16" s="41">
        <f>COUNTIFS(E11:E67,1,I11:I67,620)</f>
        <v>0</v>
      </c>
      <c r="R16" s="42">
        <f>COUNTIFS(E11:E67,2,I11:I67,620)</f>
        <v>0</v>
      </c>
    </row>
    <row r="17" spans="1:18" ht="15" customHeight="1" x14ac:dyDescent="0.15">
      <c r="A17" s="76"/>
      <c r="B17" s="77"/>
      <c r="C17" s="78"/>
      <c r="D17" s="79"/>
      <c r="E17" s="80"/>
      <c r="F17" s="81"/>
      <c r="G17" s="81"/>
      <c r="H17" s="93"/>
      <c r="I17" s="2"/>
      <c r="J17" s="83" t="str">
        <f t="shared" si="0"/>
        <v/>
      </c>
      <c r="K17" s="84"/>
      <c r="L17" s="70"/>
      <c r="M17" s="74"/>
      <c r="N17" s="2" t="s">
        <v>41</v>
      </c>
      <c r="O17" s="26" t="s">
        <v>40</v>
      </c>
      <c r="P17" s="40">
        <f>COUNTIF(I11:I66,"00711")</f>
        <v>0</v>
      </c>
      <c r="Q17" s="41">
        <f>COUNTIFS(E10:E66,1,I10:I66,711)</f>
        <v>0</v>
      </c>
      <c r="R17" s="42">
        <f>COUNTIFS(E10:E66,2,I10:I66,711)</f>
        <v>0</v>
      </c>
    </row>
    <row r="18" spans="1:18" ht="15" customHeight="1" x14ac:dyDescent="0.15">
      <c r="A18" s="76"/>
      <c r="B18" s="77"/>
      <c r="C18" s="78"/>
      <c r="D18" s="79"/>
      <c r="E18" s="80"/>
      <c r="F18" s="81"/>
      <c r="G18" s="81"/>
      <c r="H18" s="82"/>
      <c r="I18" s="2"/>
      <c r="J18" s="83" t="str">
        <f t="shared" si="0"/>
        <v/>
      </c>
      <c r="K18" s="84"/>
      <c r="L18" s="70"/>
      <c r="M18" s="74"/>
      <c r="N18" s="2" t="s">
        <v>29</v>
      </c>
      <c r="O18" s="26" t="s">
        <v>37</v>
      </c>
      <c r="P18" s="40">
        <f>COUNTIF(I11:I66,"00712")</f>
        <v>0</v>
      </c>
      <c r="Q18" s="41">
        <f>COUNTIFS(E10:E66,1,I10:I66,712)</f>
        <v>0</v>
      </c>
      <c r="R18" s="42">
        <f>COUNTIFS(E10:E66,2,I10:I66,712)</f>
        <v>0</v>
      </c>
    </row>
    <row r="19" spans="1:18" ht="15" customHeight="1" x14ac:dyDescent="0.15">
      <c r="A19" s="76"/>
      <c r="B19" s="77"/>
      <c r="C19" s="78"/>
      <c r="D19" s="79"/>
      <c r="E19" s="80"/>
      <c r="F19" s="81"/>
      <c r="G19" s="81"/>
      <c r="H19" s="93"/>
      <c r="I19" s="2"/>
      <c r="J19" s="83" t="str">
        <f t="shared" si="0"/>
        <v/>
      </c>
      <c r="K19" s="84"/>
      <c r="L19" s="70"/>
      <c r="M19" s="74"/>
      <c r="N19" s="2" t="s">
        <v>27</v>
      </c>
      <c r="O19" s="26" t="s">
        <v>28</v>
      </c>
      <c r="P19" s="40">
        <f>COUNTIF(I10:I66,"00820")</f>
        <v>0</v>
      </c>
      <c r="Q19" s="41">
        <f>COUNTIFS(E10:E66,1,I10:I66,820)</f>
        <v>0</v>
      </c>
      <c r="R19" s="42">
        <f>COUNTIFS(E10:E66,2,I10:I66,820)</f>
        <v>0</v>
      </c>
    </row>
    <row r="20" spans="1:18" ht="15" customHeight="1" x14ac:dyDescent="0.15">
      <c r="A20" s="76"/>
      <c r="B20" s="77"/>
      <c r="C20" s="78"/>
      <c r="D20" s="79"/>
      <c r="E20" s="80"/>
      <c r="F20" s="81"/>
      <c r="G20" s="81"/>
      <c r="H20" s="82"/>
      <c r="I20" s="2"/>
      <c r="J20" s="83" t="str">
        <f t="shared" si="0"/>
        <v/>
      </c>
      <c r="K20" s="84"/>
      <c r="L20" s="70"/>
      <c r="M20" s="74"/>
      <c r="N20" s="2" t="s">
        <v>71</v>
      </c>
      <c r="O20" s="26" t="s">
        <v>67</v>
      </c>
      <c r="P20" s="40">
        <f>COUNTIF(I11:I66,"03220")</f>
        <v>0</v>
      </c>
      <c r="Q20" s="41">
        <f>COUNTIFS(E11:E66,1,I11:I66,3220)</f>
        <v>0</v>
      </c>
      <c r="R20" s="42">
        <f>COUNTIFS(E11:E66,2,I11:I66,3220)</f>
        <v>0</v>
      </c>
    </row>
    <row r="21" spans="1:18" ht="15" customHeight="1" x14ac:dyDescent="0.15">
      <c r="A21" s="76"/>
      <c r="B21" s="77"/>
      <c r="C21" s="78"/>
      <c r="D21" s="79"/>
      <c r="E21" s="80"/>
      <c r="F21" s="81"/>
      <c r="G21" s="81"/>
      <c r="H21" s="82"/>
      <c r="I21" s="2"/>
      <c r="J21" s="83" t="str">
        <f t="shared" si="0"/>
        <v/>
      </c>
      <c r="K21" s="84"/>
      <c r="L21" s="70"/>
      <c r="M21" s="73"/>
      <c r="N21" s="2" t="s">
        <v>72</v>
      </c>
      <c r="O21" s="26" t="s">
        <v>68</v>
      </c>
      <c r="P21" s="40">
        <f>COUNTIF(I12:I66,"04220")</f>
        <v>0</v>
      </c>
      <c r="Q21" s="41">
        <f>COUNTIFS(E12:E66,1,I12:I66,4220)</f>
        <v>0</v>
      </c>
      <c r="R21" s="42">
        <f>COUNTIFS(E12:E66,2,I12:I66,4220)</f>
        <v>0</v>
      </c>
    </row>
    <row r="22" spans="1:18" ht="15" customHeight="1" x14ac:dyDescent="0.15">
      <c r="A22" s="76"/>
      <c r="B22" s="77"/>
      <c r="C22" s="78"/>
      <c r="D22" s="79"/>
      <c r="E22" s="80"/>
      <c r="F22" s="81"/>
      <c r="G22" s="81"/>
      <c r="H22" s="82"/>
      <c r="I22" s="2"/>
      <c r="J22" s="83" t="str">
        <f t="shared" si="0"/>
        <v/>
      </c>
      <c r="K22" s="84"/>
      <c r="L22" s="70"/>
      <c r="M22" s="73"/>
      <c r="N22" s="2" t="s">
        <v>26</v>
      </c>
      <c r="O22" s="26" t="s">
        <v>42</v>
      </c>
      <c r="P22" s="40">
        <f>COUNTIF(I10:I66,"07312")</f>
        <v>0</v>
      </c>
      <c r="Q22" s="41">
        <f>COUNTIFS(E10:E66,1,I10:I66,7312)</f>
        <v>0</v>
      </c>
      <c r="R22" s="42">
        <f>COUNTIFS(E10:E66,2,I10:I66,7312)</f>
        <v>0</v>
      </c>
    </row>
    <row r="23" spans="1:18" ht="15" customHeight="1" x14ac:dyDescent="0.15">
      <c r="A23" s="76"/>
      <c r="B23" s="77"/>
      <c r="C23" s="78"/>
      <c r="D23" s="79"/>
      <c r="E23" s="80"/>
      <c r="F23" s="81"/>
      <c r="G23" s="81"/>
      <c r="H23" s="82"/>
      <c r="I23" s="2"/>
      <c r="J23" s="83" t="str">
        <f t="shared" si="0"/>
        <v/>
      </c>
      <c r="K23" s="85"/>
      <c r="L23" s="70"/>
      <c r="M23" s="74"/>
      <c r="N23" s="2" t="s">
        <v>43</v>
      </c>
      <c r="O23" s="26" t="s">
        <v>44</v>
      </c>
      <c r="P23" s="40">
        <f>COUNTIF(I10:I66,"07320")</f>
        <v>0</v>
      </c>
      <c r="Q23" s="41">
        <f>COUNTIFS(E10:E66,1,I10:I66,7320)</f>
        <v>0</v>
      </c>
      <c r="R23" s="42">
        <f>COUNTIFS(E10:E66,2,I10:I66,7320)</f>
        <v>0</v>
      </c>
    </row>
    <row r="24" spans="1:18" ht="15" customHeight="1" x14ac:dyDescent="0.15">
      <c r="A24" s="76"/>
      <c r="B24" s="77"/>
      <c r="C24" s="78"/>
      <c r="D24" s="79"/>
      <c r="E24" s="80"/>
      <c r="F24" s="81"/>
      <c r="G24" s="81"/>
      <c r="I24" s="2"/>
      <c r="J24" s="83" t="str">
        <f t="shared" si="0"/>
        <v/>
      </c>
      <c r="K24" s="84"/>
      <c r="L24" s="70"/>
      <c r="M24" s="74"/>
      <c r="N24" s="2" t="s">
        <v>45</v>
      </c>
      <c r="O24" s="26" t="s">
        <v>69</v>
      </c>
      <c r="P24" s="40">
        <f>COUNTIF(I10:I66,"08320")</f>
        <v>0</v>
      </c>
      <c r="Q24" s="41">
        <f>COUNTIFS(E10:E66,1,I10:I66,8320)</f>
        <v>0</v>
      </c>
      <c r="R24" s="42">
        <f>COUNTIFS(E10:E66,2,I10:I66,8320)</f>
        <v>0</v>
      </c>
    </row>
    <row r="25" spans="1:18" ht="15" customHeight="1" x14ac:dyDescent="0.15">
      <c r="A25" s="76"/>
      <c r="B25" s="77"/>
      <c r="C25" s="78"/>
      <c r="D25" s="79"/>
      <c r="E25" s="80"/>
      <c r="F25" s="81"/>
      <c r="G25" s="81"/>
      <c r="H25" s="82"/>
      <c r="I25" s="2"/>
      <c r="J25" s="83" t="str">
        <f t="shared" si="0"/>
        <v/>
      </c>
      <c r="K25" s="85"/>
      <c r="L25" s="70"/>
      <c r="M25" s="74"/>
      <c r="N25" s="2" t="s">
        <v>46</v>
      </c>
      <c r="O25" s="27" t="s">
        <v>70</v>
      </c>
      <c r="P25" s="40">
        <f>COUNTIF(I10:I66,"08520")</f>
        <v>0</v>
      </c>
      <c r="Q25" s="41">
        <f>COUNTIFS(E10:E66,1,I10:I66,8520)</f>
        <v>0</v>
      </c>
      <c r="R25" s="42">
        <f>COUNTIFS(E10:E66,2,I10:I66,8520)</f>
        <v>0</v>
      </c>
    </row>
    <row r="26" spans="1:18" ht="15" customHeight="1" x14ac:dyDescent="0.15">
      <c r="A26" s="76"/>
      <c r="B26" s="77"/>
      <c r="C26" s="78"/>
      <c r="D26" s="79"/>
      <c r="E26" s="80"/>
      <c r="F26" s="81"/>
      <c r="G26" s="81"/>
      <c r="H26" s="82"/>
      <c r="I26" s="2"/>
      <c r="J26" s="83" t="str">
        <f t="shared" si="0"/>
        <v/>
      </c>
      <c r="K26" s="85"/>
      <c r="L26" s="70"/>
      <c r="M26"/>
      <c r="O26" s="1" t="s">
        <v>62</v>
      </c>
    </row>
    <row r="27" spans="1:18" ht="15" customHeight="1" x14ac:dyDescent="0.15">
      <c r="A27" s="76"/>
      <c r="B27" s="77"/>
      <c r="C27" s="78"/>
      <c r="D27" s="79"/>
      <c r="E27" s="80"/>
      <c r="F27" s="81"/>
      <c r="G27" s="81"/>
      <c r="H27" s="82"/>
      <c r="I27" s="2"/>
      <c r="J27" s="83" t="str">
        <f t="shared" si="0"/>
        <v/>
      </c>
      <c r="K27" s="85"/>
      <c r="L27" s="70"/>
      <c r="M27" s="74"/>
      <c r="N27" s="2" t="s">
        <v>79</v>
      </c>
      <c r="O27" s="26" t="s">
        <v>63</v>
      </c>
      <c r="P27" s="40">
        <f>COUNTIF(I11:I66,"00230")</f>
        <v>0</v>
      </c>
      <c r="Q27" s="41">
        <f>COUNTIFS(E11:E66,1,I11:I66,230)</f>
        <v>0</v>
      </c>
      <c r="R27" s="42">
        <f>COUNTIFS(E11:E66,2,I11:I66,230)</f>
        <v>0</v>
      </c>
    </row>
    <row r="28" spans="1:18" ht="15" customHeight="1" x14ac:dyDescent="0.15">
      <c r="A28" s="76"/>
      <c r="B28" s="77"/>
      <c r="C28" s="78"/>
      <c r="D28" s="79"/>
      <c r="E28" s="80"/>
      <c r="F28" s="81"/>
      <c r="G28" s="81"/>
      <c r="H28" s="82"/>
      <c r="I28" s="2"/>
      <c r="J28" s="83" t="str">
        <f t="shared" si="0"/>
        <v/>
      </c>
      <c r="K28" s="85"/>
      <c r="L28" s="70"/>
      <c r="M28" s="74"/>
      <c r="N28" s="2" t="s">
        <v>118</v>
      </c>
      <c r="O28" s="26" t="s">
        <v>119</v>
      </c>
      <c r="P28" s="40">
        <f>COUNTIF(I24:I79,"00630")</f>
        <v>0</v>
      </c>
      <c r="Q28" s="41">
        <f>COUNTIFS(E23:E79,1,I23:I79,630)</f>
        <v>0</v>
      </c>
      <c r="R28" s="42">
        <f>COUNTIFS(E23:E79,2,I23:I79,630)</f>
        <v>0</v>
      </c>
    </row>
    <row r="29" spans="1:18" ht="15" customHeight="1" x14ac:dyDescent="0.15">
      <c r="A29" s="76"/>
      <c r="B29" s="77"/>
      <c r="C29" s="78"/>
      <c r="D29" s="79"/>
      <c r="E29" s="80"/>
      <c r="F29" s="81"/>
      <c r="G29" s="81"/>
      <c r="H29" s="82"/>
      <c r="I29" s="2"/>
      <c r="J29" s="83" t="str">
        <f t="shared" si="0"/>
        <v/>
      </c>
      <c r="K29" s="85"/>
      <c r="L29" s="71"/>
      <c r="M29" s="74"/>
      <c r="N29" s="2" t="s">
        <v>80</v>
      </c>
      <c r="O29" s="26" t="s">
        <v>64</v>
      </c>
      <c r="P29" s="40">
        <f>COUNTIF(I10:I66,"00830")</f>
        <v>0</v>
      </c>
      <c r="Q29" s="41">
        <f>COUNTIFS(E10:E66,1,I10:I66,830)</f>
        <v>0</v>
      </c>
      <c r="R29" s="42">
        <f>COUNTIFS(E10:E66,2,I10:I66,830)</f>
        <v>0</v>
      </c>
    </row>
    <row r="30" spans="1:18" ht="15" customHeight="1" x14ac:dyDescent="0.15">
      <c r="A30" s="76"/>
      <c r="B30" s="77"/>
      <c r="C30" s="78"/>
      <c r="D30" s="79"/>
      <c r="E30" s="80"/>
      <c r="F30" s="81"/>
      <c r="G30" s="81"/>
      <c r="H30" s="82"/>
      <c r="I30" s="2"/>
      <c r="J30" s="83" t="str">
        <f t="shared" si="0"/>
        <v/>
      </c>
      <c r="K30" s="85"/>
      <c r="L30" s="70"/>
      <c r="M30" s="74"/>
      <c r="N30" s="2" t="s">
        <v>73</v>
      </c>
      <c r="O30" s="26" t="s">
        <v>65</v>
      </c>
      <c r="P30" s="40">
        <f>COUNTIF(I10:I66,"07330")</f>
        <v>0</v>
      </c>
      <c r="Q30" s="41">
        <f>COUNTIFS(E10:E66,1,I10:I66,7330)</f>
        <v>0</v>
      </c>
      <c r="R30" s="42">
        <f>COUNTIFS(E10:E66,2,I10:I66,7330)</f>
        <v>0</v>
      </c>
    </row>
    <row r="31" spans="1:18" ht="15" customHeight="1" x14ac:dyDescent="0.15">
      <c r="A31" s="76"/>
      <c r="B31" s="77"/>
      <c r="C31" s="78"/>
      <c r="D31" s="79"/>
      <c r="E31" s="80"/>
      <c r="F31" s="81"/>
      <c r="G31" s="81"/>
      <c r="H31" s="82"/>
      <c r="I31" s="2"/>
      <c r="J31" s="83" t="str">
        <f t="shared" si="0"/>
        <v/>
      </c>
      <c r="K31" s="84"/>
      <c r="L31" s="70"/>
      <c r="M31" s="75"/>
      <c r="N31" s="34" t="s">
        <v>117</v>
      </c>
      <c r="O31" s="35" t="s">
        <v>66</v>
      </c>
      <c r="P31" s="40">
        <f>COUNTIF(I10:I66,"08100")</f>
        <v>0</v>
      </c>
      <c r="Q31" s="41">
        <f>COUNTIFS(E10:E66,1,I10:I66,8100)</f>
        <v>0</v>
      </c>
      <c r="R31" s="42">
        <f>COUNTIFS(E10:E66,2,I10:I66,8100)</f>
        <v>0</v>
      </c>
    </row>
    <row r="32" spans="1:18" ht="15" customHeight="1" x14ac:dyDescent="0.15">
      <c r="A32" s="76"/>
      <c r="B32" s="77"/>
      <c r="C32" s="78"/>
      <c r="D32" s="79"/>
      <c r="E32" s="80"/>
      <c r="F32" s="81"/>
      <c r="G32" s="81"/>
      <c r="H32" s="82"/>
      <c r="I32" s="34"/>
      <c r="J32" s="83" t="str">
        <f t="shared" si="0"/>
        <v/>
      </c>
      <c r="K32" s="84"/>
      <c r="L32" s="70"/>
      <c r="M32" s="75"/>
      <c r="N32" s="34" t="s">
        <v>74</v>
      </c>
      <c r="O32" s="35" t="s">
        <v>75</v>
      </c>
      <c r="P32" s="40">
        <f>COUNTIF(I9:I66,"08240")</f>
        <v>0</v>
      </c>
      <c r="Q32" s="41">
        <f>COUNTIFS(E9:E66,1,I9:I66,8240)</f>
        <v>0</v>
      </c>
      <c r="R32" s="42">
        <f>COUNTIFS(E9:E66,2,I9:I66,8240)</f>
        <v>0</v>
      </c>
    </row>
    <row r="33" spans="1:18" ht="15" customHeight="1" x14ac:dyDescent="0.15">
      <c r="A33" s="76"/>
      <c r="B33" s="77"/>
      <c r="C33" s="78"/>
      <c r="D33" s="79"/>
      <c r="E33" s="80"/>
      <c r="F33" s="81"/>
      <c r="G33" s="81"/>
      <c r="H33" s="82"/>
      <c r="I33" s="34"/>
      <c r="J33" s="83" t="str">
        <f t="shared" si="0"/>
        <v/>
      </c>
      <c r="K33" s="84"/>
      <c r="L33" s="70"/>
      <c r="M33" s="75"/>
      <c r="N33" s="34" t="s">
        <v>60</v>
      </c>
      <c r="O33" s="35" t="s">
        <v>76</v>
      </c>
      <c r="P33" s="40">
        <f>COUNTIF(I10:I66,"08250")</f>
        <v>0</v>
      </c>
      <c r="Q33" s="41">
        <f>COUNTIFS(E10:E66,1,I10:I66,8250)</f>
        <v>0</v>
      </c>
      <c r="R33" s="42">
        <f>COUNTIFS(E10:E66,2,I10:I66,8250)</f>
        <v>0</v>
      </c>
    </row>
    <row r="34" spans="1:18" ht="15" customHeight="1" x14ac:dyDescent="0.15">
      <c r="A34" s="76"/>
      <c r="B34" s="86"/>
      <c r="C34" s="86"/>
      <c r="D34" s="79"/>
      <c r="E34" s="87"/>
      <c r="F34" s="81"/>
      <c r="G34" s="88"/>
      <c r="H34" s="93"/>
      <c r="I34" s="34"/>
      <c r="J34" s="83" t="str">
        <f t="shared" si="0"/>
        <v/>
      </c>
      <c r="K34" s="84"/>
      <c r="L34" s="70"/>
      <c r="M34" s="75"/>
      <c r="N34" s="34" t="s">
        <v>53</v>
      </c>
      <c r="O34" s="35" t="s">
        <v>52</v>
      </c>
      <c r="P34" s="40">
        <f>COUNTIF(I10:I66,"08360")</f>
        <v>0</v>
      </c>
      <c r="Q34" s="41">
        <f>COUNTIFS(E10:E66,1,I10:I66,8360)</f>
        <v>0</v>
      </c>
      <c r="R34" s="42">
        <f>COUNTIFS(E10:E66,2,I10:I66,8360)</f>
        <v>0</v>
      </c>
    </row>
    <row r="35" spans="1:18" ht="15" customHeight="1" x14ac:dyDescent="0.15">
      <c r="A35" s="76"/>
      <c r="B35" s="77"/>
      <c r="C35" s="78"/>
      <c r="D35" s="79"/>
      <c r="E35" s="87"/>
      <c r="F35" s="81"/>
      <c r="G35" s="88"/>
      <c r="H35" s="93"/>
      <c r="I35" s="34"/>
      <c r="J35" s="83" t="str">
        <f t="shared" si="0"/>
        <v/>
      </c>
      <c r="K35" s="84"/>
      <c r="L35" s="70"/>
      <c r="M35" s="75"/>
      <c r="N35" s="34" t="s">
        <v>54</v>
      </c>
      <c r="O35" s="35" t="s">
        <v>51</v>
      </c>
      <c r="P35" s="43">
        <f>COUNTIF(I10:I66,"08470")</f>
        <v>0</v>
      </c>
      <c r="Q35" s="41">
        <f>COUNTIFS(E10:E66,1,I10:I66,8470)</f>
        <v>0</v>
      </c>
      <c r="R35" s="42">
        <f>COUNTIFS(E10:E66,2,I10:I66,8470)</f>
        <v>0</v>
      </c>
    </row>
    <row r="36" spans="1:18" ht="15" customHeight="1" x14ac:dyDescent="0.15">
      <c r="A36" s="76"/>
      <c r="B36" s="86"/>
      <c r="C36" s="86"/>
      <c r="D36" s="79"/>
      <c r="E36" s="87"/>
      <c r="F36" s="81"/>
      <c r="G36" s="88"/>
      <c r="H36" s="93"/>
      <c r="I36" s="34"/>
      <c r="J36" s="83" t="str">
        <f t="shared" si="0"/>
        <v/>
      </c>
      <c r="K36" s="84"/>
      <c r="L36" s="70"/>
      <c r="M36" s="74"/>
      <c r="N36" s="2" t="s">
        <v>78</v>
      </c>
      <c r="O36" s="26" t="s">
        <v>77</v>
      </c>
      <c r="P36" s="44">
        <f>COUNTIF(I11:I66,"08430")</f>
        <v>0</v>
      </c>
      <c r="Q36" s="45">
        <f>COUNTIFS(E11:E66,1,I11:I66,8430)</f>
        <v>0</v>
      </c>
      <c r="R36" s="46">
        <f>COUNTIFS(E11:E66,2,I11:I66,8430)</f>
        <v>0</v>
      </c>
    </row>
    <row r="37" spans="1:18" ht="15" customHeight="1" x14ac:dyDescent="0.15">
      <c r="A37" s="76"/>
      <c r="B37" s="86"/>
      <c r="C37" s="86"/>
      <c r="D37" s="87"/>
      <c r="E37" s="87"/>
      <c r="F37" s="81"/>
      <c r="G37" s="88"/>
      <c r="H37" s="93"/>
      <c r="I37" s="2"/>
      <c r="J37" s="83" t="str">
        <f t="shared" si="0"/>
        <v/>
      </c>
      <c r="K37" s="85"/>
      <c r="L37" s="70"/>
      <c r="M37"/>
    </row>
    <row r="38" spans="1:18" ht="15" customHeight="1" x14ac:dyDescent="0.15">
      <c r="A38" s="76"/>
      <c r="B38" s="86"/>
      <c r="C38" s="86"/>
      <c r="D38" s="87"/>
      <c r="E38" s="87"/>
      <c r="F38" s="81"/>
      <c r="G38" s="88"/>
      <c r="H38" s="93"/>
      <c r="I38" s="2"/>
      <c r="J38" s="83" t="str">
        <f t="shared" si="0"/>
        <v/>
      </c>
      <c r="K38" s="84"/>
      <c r="L38" s="71"/>
      <c r="M38"/>
      <c r="P38" s="50">
        <f>SUM(P11:P37)</f>
        <v>0</v>
      </c>
      <c r="Q38" s="50">
        <f>SUM(Q11:Q37)</f>
        <v>0</v>
      </c>
      <c r="R38" s="50">
        <f>SUM(R11:R37)</f>
        <v>0</v>
      </c>
    </row>
    <row r="39" spans="1:18" ht="15" customHeight="1" x14ac:dyDescent="0.15">
      <c r="A39" s="76"/>
      <c r="B39" s="81"/>
      <c r="C39" s="81"/>
      <c r="D39" s="87"/>
      <c r="E39" s="60"/>
      <c r="F39" s="81"/>
      <c r="G39" s="88"/>
      <c r="H39" s="93"/>
      <c r="I39" s="2"/>
      <c r="J39" s="83" t="str">
        <f t="shared" si="0"/>
        <v/>
      </c>
      <c r="K39" s="85"/>
      <c r="L39" s="71"/>
      <c r="M39"/>
    </row>
    <row r="40" spans="1:18" ht="15" customHeight="1" x14ac:dyDescent="0.15">
      <c r="A40" s="76"/>
      <c r="B40" s="86"/>
      <c r="C40" s="86"/>
      <c r="D40" s="87"/>
      <c r="E40" s="87"/>
      <c r="F40" s="81"/>
      <c r="G40" s="88"/>
      <c r="H40" s="93"/>
      <c r="I40" s="2"/>
      <c r="J40" s="83" t="str">
        <f t="shared" si="0"/>
        <v/>
      </c>
      <c r="K40" s="85"/>
      <c r="L40" s="71"/>
      <c r="M40"/>
    </row>
    <row r="41" spans="1:18" ht="15" customHeight="1" x14ac:dyDescent="0.15">
      <c r="A41" s="76"/>
      <c r="B41" s="89"/>
      <c r="C41" s="81"/>
      <c r="D41" s="60"/>
      <c r="E41" s="60"/>
      <c r="F41" s="81"/>
      <c r="G41" s="88"/>
      <c r="H41" s="93"/>
      <c r="I41" s="2"/>
      <c r="J41" s="83" t="str">
        <f t="shared" si="0"/>
        <v/>
      </c>
      <c r="K41" s="85"/>
      <c r="L41" s="71"/>
      <c r="M41"/>
    </row>
    <row r="42" spans="1:18" ht="15" customHeight="1" x14ac:dyDescent="0.15">
      <c r="A42" s="76"/>
      <c r="B42" s="89"/>
      <c r="C42" s="81"/>
      <c r="D42" s="60"/>
      <c r="E42" s="60"/>
      <c r="F42" s="81"/>
      <c r="G42" s="88"/>
      <c r="H42" s="93"/>
      <c r="I42" s="2"/>
      <c r="J42" s="83" t="str">
        <f t="shared" si="0"/>
        <v/>
      </c>
      <c r="K42" s="85"/>
      <c r="L42" s="71"/>
      <c r="M42"/>
    </row>
    <row r="43" spans="1:18" ht="15" customHeight="1" x14ac:dyDescent="0.15">
      <c r="A43" s="76"/>
      <c r="B43" s="90"/>
      <c r="C43" s="86"/>
      <c r="D43" s="87"/>
      <c r="E43" s="87"/>
      <c r="F43" s="81"/>
      <c r="G43" s="88"/>
      <c r="H43" s="93"/>
      <c r="I43" s="2"/>
      <c r="J43" s="83" t="str">
        <f t="shared" si="0"/>
        <v/>
      </c>
      <c r="K43" s="85"/>
      <c r="L43" s="91"/>
      <c r="M43"/>
    </row>
    <row r="44" spans="1:18" ht="15" customHeight="1" x14ac:dyDescent="0.15">
      <c r="A44" s="76"/>
      <c r="B44" s="86"/>
      <c r="C44" s="86"/>
      <c r="D44" s="87"/>
      <c r="E44" s="87"/>
      <c r="F44" s="81"/>
      <c r="G44" s="88"/>
      <c r="H44" s="93"/>
      <c r="I44" s="34"/>
      <c r="J44" s="83" t="str">
        <f t="shared" si="0"/>
        <v/>
      </c>
      <c r="K44" s="85"/>
      <c r="L44" s="70"/>
      <c r="M44"/>
    </row>
    <row r="45" spans="1:18" ht="15" customHeight="1" x14ac:dyDescent="0.15">
      <c r="A45" s="76"/>
      <c r="B45" s="86"/>
      <c r="C45" s="86"/>
      <c r="D45" s="87"/>
      <c r="E45" s="87"/>
      <c r="F45" s="81"/>
      <c r="G45" s="88"/>
      <c r="H45" s="93"/>
      <c r="I45" s="34"/>
      <c r="J45" s="83" t="str">
        <f t="shared" si="0"/>
        <v/>
      </c>
      <c r="K45" s="85"/>
      <c r="L45" s="71"/>
      <c r="M45"/>
    </row>
    <row r="46" spans="1:18" ht="15" customHeight="1" x14ac:dyDescent="0.15">
      <c r="A46" s="76"/>
      <c r="B46" s="86"/>
      <c r="C46" s="86"/>
      <c r="D46" s="87"/>
      <c r="E46" s="87"/>
      <c r="F46" s="81"/>
      <c r="G46" s="88"/>
      <c r="H46" s="93"/>
      <c r="I46" s="34"/>
      <c r="J46" s="83" t="str">
        <f t="shared" si="0"/>
        <v/>
      </c>
      <c r="K46" s="85"/>
      <c r="L46" s="71"/>
      <c r="M46"/>
    </row>
    <row r="47" spans="1:18" ht="15" customHeight="1" x14ac:dyDescent="0.15">
      <c r="A47" s="76"/>
      <c r="B47" s="86"/>
      <c r="C47" s="86"/>
      <c r="D47" s="87"/>
      <c r="E47" s="87"/>
      <c r="F47" s="81"/>
      <c r="G47" s="88"/>
      <c r="H47" s="93"/>
      <c r="I47" s="34"/>
      <c r="J47" s="83" t="str">
        <f t="shared" si="0"/>
        <v/>
      </c>
      <c r="K47" s="85"/>
      <c r="L47" s="71"/>
      <c r="M47"/>
    </row>
    <row r="48" spans="1:18" ht="15" customHeight="1" x14ac:dyDescent="0.15">
      <c r="A48" s="76"/>
      <c r="B48" s="81"/>
      <c r="C48" s="81"/>
      <c r="D48" s="87"/>
      <c r="E48" s="60"/>
      <c r="F48" s="81"/>
      <c r="G48" s="88"/>
      <c r="H48" s="93"/>
      <c r="I48" s="34"/>
      <c r="J48" s="83" t="str">
        <f t="shared" si="0"/>
        <v/>
      </c>
      <c r="K48" s="85"/>
      <c r="L48" s="71"/>
      <c r="M48"/>
    </row>
    <row r="49" spans="1:13" ht="15" customHeight="1" x14ac:dyDescent="0.15">
      <c r="A49" s="76"/>
      <c r="B49" s="86"/>
      <c r="C49" s="86"/>
      <c r="D49" s="87"/>
      <c r="E49" s="87"/>
      <c r="F49" s="81"/>
      <c r="G49" s="88"/>
      <c r="H49" s="93"/>
      <c r="I49" s="2"/>
      <c r="J49" s="83" t="str">
        <f t="shared" si="0"/>
        <v/>
      </c>
      <c r="K49" s="85"/>
      <c r="L49" s="71"/>
      <c r="M49"/>
    </row>
    <row r="50" spans="1:13" ht="15" customHeight="1" x14ac:dyDescent="0.15">
      <c r="A50" s="76"/>
      <c r="B50" s="86"/>
      <c r="C50" s="86"/>
      <c r="D50" s="87"/>
      <c r="E50" s="87"/>
      <c r="F50" s="81"/>
      <c r="G50" s="88"/>
      <c r="H50" s="93"/>
      <c r="I50" s="2"/>
      <c r="J50" s="83" t="str">
        <f t="shared" si="0"/>
        <v/>
      </c>
      <c r="K50" s="85"/>
      <c r="L50" s="71"/>
      <c r="M50"/>
    </row>
    <row r="51" spans="1:13" ht="15" customHeight="1" x14ac:dyDescent="0.15">
      <c r="A51" s="76"/>
      <c r="B51" s="86"/>
      <c r="C51" s="86"/>
      <c r="D51" s="87"/>
      <c r="E51" s="87"/>
      <c r="F51" s="81"/>
      <c r="G51" s="88"/>
      <c r="H51" s="93"/>
      <c r="J51" s="83" t="str">
        <f t="shared" si="0"/>
        <v/>
      </c>
      <c r="K51" s="84"/>
      <c r="L51" s="71"/>
      <c r="M51"/>
    </row>
    <row r="52" spans="1:13" ht="15" customHeight="1" x14ac:dyDescent="0.15">
      <c r="A52" s="76"/>
      <c r="B52" s="86"/>
      <c r="C52" s="86"/>
      <c r="D52" s="87"/>
      <c r="E52" s="87"/>
      <c r="F52" s="81"/>
      <c r="G52" s="88"/>
      <c r="H52" s="93"/>
      <c r="I52" s="2"/>
      <c r="J52" s="83" t="str">
        <f t="shared" si="0"/>
        <v/>
      </c>
      <c r="K52" s="85"/>
      <c r="L52" s="71"/>
      <c r="M52"/>
    </row>
    <row r="53" spans="1:13" ht="15" customHeight="1" x14ac:dyDescent="0.15">
      <c r="A53" s="76"/>
      <c r="B53" s="86"/>
      <c r="C53" s="86"/>
      <c r="D53" s="87"/>
      <c r="E53" s="87"/>
      <c r="F53" s="81"/>
      <c r="G53" s="88"/>
      <c r="H53" s="93"/>
      <c r="I53" s="2"/>
      <c r="J53" s="83" t="str">
        <f t="shared" si="0"/>
        <v/>
      </c>
      <c r="K53" s="85"/>
      <c r="L53" s="71"/>
      <c r="M53"/>
    </row>
    <row r="54" spans="1:13" ht="15" customHeight="1" x14ac:dyDescent="0.15">
      <c r="A54" s="76"/>
      <c r="B54" s="86"/>
      <c r="C54" s="86"/>
      <c r="D54" s="87"/>
      <c r="E54" s="87"/>
      <c r="F54" s="81"/>
      <c r="G54" s="88"/>
      <c r="H54" s="93"/>
      <c r="I54" s="2"/>
      <c r="J54" s="83" t="str">
        <f t="shared" si="0"/>
        <v/>
      </c>
      <c r="K54" s="85"/>
      <c r="L54" s="71"/>
      <c r="M54"/>
    </row>
    <row r="55" spans="1:13" ht="15" customHeight="1" x14ac:dyDescent="0.15">
      <c r="A55" s="76"/>
      <c r="B55" s="92"/>
      <c r="C55" s="78"/>
      <c r="D55" s="79"/>
      <c r="E55" s="80"/>
      <c r="F55" s="81"/>
      <c r="G55" s="88"/>
      <c r="H55" s="93"/>
      <c r="I55" s="34"/>
      <c r="J55" s="83" t="str">
        <f t="shared" si="0"/>
        <v/>
      </c>
      <c r="K55" s="85"/>
      <c r="L55" s="71"/>
      <c r="M55"/>
    </row>
    <row r="56" spans="1:13" ht="15" customHeight="1" x14ac:dyDescent="0.15">
      <c r="A56" s="76"/>
      <c r="B56" s="92"/>
      <c r="C56" s="78"/>
      <c r="D56" s="79"/>
      <c r="E56" s="80"/>
      <c r="F56" s="81"/>
      <c r="G56" s="88"/>
      <c r="H56" s="93"/>
      <c r="I56" s="34"/>
      <c r="J56" s="83" t="str">
        <f t="shared" si="0"/>
        <v/>
      </c>
      <c r="K56" s="85"/>
      <c r="L56" s="71"/>
      <c r="M56"/>
    </row>
    <row r="57" spans="1:13" ht="15" customHeight="1" x14ac:dyDescent="0.15">
      <c r="A57" s="76"/>
      <c r="B57" s="92"/>
      <c r="C57" s="78"/>
      <c r="D57" s="79"/>
      <c r="E57" s="80"/>
      <c r="F57" s="81"/>
      <c r="G57" s="88"/>
      <c r="H57" s="93"/>
      <c r="I57" s="34"/>
      <c r="J57" s="83" t="str">
        <f t="shared" si="0"/>
        <v/>
      </c>
      <c r="K57" s="85"/>
      <c r="L57" s="71"/>
      <c r="M57"/>
    </row>
    <row r="58" spans="1:13" ht="15" customHeight="1" x14ac:dyDescent="0.15">
      <c r="A58" s="76"/>
      <c r="B58" s="92"/>
      <c r="C58" s="81"/>
      <c r="D58" s="79"/>
      <c r="E58" s="80"/>
      <c r="F58" s="81"/>
      <c r="G58" s="88"/>
      <c r="H58" s="93"/>
      <c r="I58" s="34"/>
      <c r="J58" s="83" t="str">
        <f t="shared" si="0"/>
        <v/>
      </c>
      <c r="K58" s="85"/>
      <c r="L58" s="71"/>
      <c r="M58"/>
    </row>
    <row r="59" spans="1:13" ht="15" customHeight="1" x14ac:dyDescent="0.15">
      <c r="A59" s="76"/>
      <c r="B59" s="92"/>
      <c r="C59" s="81"/>
      <c r="D59" s="79"/>
      <c r="E59" s="80"/>
      <c r="F59" s="81"/>
      <c r="G59" s="88"/>
      <c r="H59" s="93"/>
      <c r="I59" s="34"/>
      <c r="J59" s="83" t="str">
        <f t="shared" si="0"/>
        <v/>
      </c>
      <c r="K59" s="85"/>
      <c r="L59" s="71"/>
      <c r="M59"/>
    </row>
    <row r="60" spans="1:13" ht="15" customHeight="1" x14ac:dyDescent="0.15">
      <c r="A60" s="76"/>
      <c r="B60" s="77"/>
      <c r="C60" s="78"/>
      <c r="D60" s="79"/>
      <c r="E60" s="80"/>
      <c r="F60" s="81"/>
      <c r="G60" s="81"/>
      <c r="H60" s="82"/>
      <c r="I60" s="2"/>
      <c r="J60" s="83" t="str">
        <f t="shared" si="0"/>
        <v/>
      </c>
      <c r="K60" s="84"/>
      <c r="L60" s="70"/>
      <c r="M60"/>
    </row>
    <row r="61" spans="1:13" ht="15" customHeight="1" x14ac:dyDescent="0.15">
      <c r="A61" s="76"/>
      <c r="B61" s="77"/>
      <c r="C61" s="78"/>
      <c r="D61" s="79"/>
      <c r="E61" s="80"/>
      <c r="F61" s="81"/>
      <c r="G61" s="81"/>
      <c r="H61" s="93"/>
      <c r="I61" s="2"/>
      <c r="J61" s="83" t="str">
        <f t="shared" si="0"/>
        <v/>
      </c>
      <c r="K61" s="84"/>
      <c r="L61" s="70"/>
      <c r="M61"/>
    </row>
    <row r="62" spans="1:13" ht="15" customHeight="1" x14ac:dyDescent="0.15">
      <c r="A62" s="76"/>
      <c r="B62" s="77"/>
      <c r="C62" s="78"/>
      <c r="D62" s="79"/>
      <c r="E62" s="80"/>
      <c r="F62" s="81"/>
      <c r="G62" s="81"/>
      <c r="H62" s="93"/>
      <c r="I62" s="2"/>
      <c r="J62" s="83" t="str">
        <f t="shared" si="0"/>
        <v/>
      </c>
      <c r="K62" s="84"/>
      <c r="L62" s="70"/>
      <c r="M62"/>
    </row>
    <row r="63" spans="1:13" ht="15" customHeight="1" x14ac:dyDescent="0.15">
      <c r="A63" s="76"/>
      <c r="B63" s="77"/>
      <c r="C63" s="78"/>
      <c r="D63" s="79"/>
      <c r="E63" s="80"/>
      <c r="F63" s="81"/>
      <c r="G63" s="81"/>
      <c r="H63" s="82"/>
      <c r="I63" s="2"/>
      <c r="J63" s="83" t="str">
        <f t="shared" si="0"/>
        <v/>
      </c>
      <c r="K63" s="84"/>
      <c r="L63" s="70"/>
      <c r="M63"/>
    </row>
    <row r="64" spans="1:13" ht="15" customHeight="1" x14ac:dyDescent="0.15">
      <c r="A64" s="76"/>
      <c r="B64" s="77"/>
      <c r="C64" s="78"/>
      <c r="D64" s="79"/>
      <c r="E64" s="80"/>
      <c r="F64" s="81"/>
      <c r="G64" s="81"/>
      <c r="H64" s="93"/>
      <c r="I64" s="2"/>
      <c r="J64" s="83" t="str">
        <f t="shared" si="0"/>
        <v/>
      </c>
      <c r="K64" s="84"/>
      <c r="L64" s="70"/>
      <c r="M64"/>
    </row>
    <row r="65" spans="1:13" ht="15" customHeight="1" x14ac:dyDescent="0.15">
      <c r="A65" s="76"/>
      <c r="B65" s="77"/>
      <c r="C65" s="78"/>
      <c r="D65" s="79"/>
      <c r="E65" s="80"/>
      <c r="F65" s="81"/>
      <c r="G65" s="81"/>
      <c r="H65" s="93"/>
      <c r="I65" s="2"/>
      <c r="J65" s="83" t="str">
        <f t="shared" si="0"/>
        <v/>
      </c>
      <c r="K65" s="84"/>
      <c r="L65" s="70"/>
      <c r="M65"/>
    </row>
    <row r="66" spans="1:13" ht="15" customHeight="1" x14ac:dyDescent="0.15">
      <c r="A66" s="76"/>
      <c r="B66" s="77"/>
      <c r="C66" s="78"/>
      <c r="D66" s="79"/>
      <c r="E66" s="80"/>
      <c r="F66" s="81"/>
      <c r="G66" s="81"/>
      <c r="H66" s="93"/>
      <c r="I66" s="2"/>
      <c r="J66" s="83" t="str">
        <f t="shared" si="0"/>
        <v/>
      </c>
      <c r="K66" s="85"/>
      <c r="L66" s="70"/>
      <c r="M66"/>
    </row>
  </sheetData>
  <mergeCells count="2">
    <mergeCell ref="B4:F4"/>
    <mergeCell ref="I7:K7"/>
  </mergeCells>
  <phoneticPr fontId="3"/>
  <dataValidations xWindow="555" yWindow="428" count="15">
    <dataValidation allowBlank="1" showInputMessage="1" showErrorMessage="1" sqref="J8:J9 I4:J4 I2:K2 K5 I7:I8 I10:K10 G10 A1 C1:K1 A2:H3 G5:G8 I6:J6 J3 B6:B10 H4:H10 N1:R25 I52:I66 L1:M10 M22 L44 S1:AN66 J11:J66 N27:R36 A4:A10 C4:F10 B4 I11:I50" xr:uid="{1064B71D-FC5C-4A11-ABF2-1DB6358D4A79}"/>
    <dataValidation allowBlank="1" showInputMessage="1" showErrorMessage="1" prompt="半角カナで入力してください。" sqref="C41:D42 C58:C59 C62" xr:uid="{22F4D854-D7F1-4670-9323-9692095707DD}"/>
    <dataValidation allowBlank="1" showInputMessage="1" showErrorMessage="1" prompt="全角で苗字と名の間は１字開ける、生徒・学生は（）で新学年を入力してください。" sqref="B58:B59 B62" xr:uid="{079F8EF8-ABBE-430C-919A-BD318D150265}"/>
    <dataValidation operator="equal" allowBlank="1" showInputMessage="1" showErrorMessage="1" errorTitle="学年の入力エラー" error="学年は１桁です。" prompt="マスターズの方は年齢を入力してください。" sqref="D11:D36 D55:D66" xr:uid="{6D9B7292-BE3B-49EE-86FB-E02DD47C8A40}"/>
    <dataValidation type="textLength" allowBlank="1" showInputMessage="1" showErrorMessage="1" errorTitle="記録の入力エラー" error="トラック種目の記録は７桁、_x000a_フィールド種目の記録は５桁です。" sqref="K11:K66" xr:uid="{6904A85E-9C3B-47C2-AC8B-59B227F9891E}">
      <formula1>5</formula1>
      <formula2>7</formula2>
    </dataValidation>
    <dataValidation imeMode="hiragana" allowBlank="1" showInputMessage="1" showErrorMessage="1" prompt="全角で苗字と名の間は１字開ける、生徒・学生は（）で新学年を入力してください。" sqref="B11:B40 B43:B57 B60:B61 B63:B66" xr:uid="{73E6E500-7BBF-46C2-996E-9F89BB4227B5}"/>
    <dataValidation type="textLength" operator="equal" allowBlank="1" showInputMessage="1" showErrorMessage="1" errorTitle="性別の入力エラー" error="性別は１桁です。" sqref="E11:E33 E41:E42 E55:E66" xr:uid="{68E254D7-7CF2-407C-A36C-B46E7C09B684}">
      <formula1>1</formula1>
    </dataValidation>
    <dataValidation type="textLength" operator="equal" allowBlank="1" showInputMessage="1" showErrorMessage="1" errorTitle="県の入力エラー" error="県コードは「３３」です。" sqref="F11:F66" xr:uid="{1DE02725-4AE1-4379-8351-C9CEBF8AE6EF}">
      <formula1>2</formula1>
    </dataValidation>
    <dataValidation allowBlank="1" showInputMessage="1" showErrorMessage="1" prompt="リレー出場者は○と複数チームはＡＢ表記。リレー一覧のシートにもご記入下さい。" sqref="L11:M14 M21 L15:L28 L30:L37 L43 L60:L61 L63:L66" xr:uid="{B6A03C3C-B079-4291-9E02-2FE1CF55D407}"/>
    <dataValidation allowBlank="1" showInputMessage="1" showErrorMessage="1" prompt="全角で、学年は半角入力" sqref="B41:B42" xr:uid="{6825F955-F5CF-47CA-A999-1DD3FD20379A}"/>
    <dataValidation type="textLength" imeMode="off" operator="equal" allowBlank="1" showInputMessage="1" showErrorMessage="1" errorTitle="性別の入力エラー" error="性別は１桁です。" sqref="E43:E54 E34:E40" xr:uid="{018CDB45-D924-432B-A947-699B7C964B09}">
      <formula1>1</formula1>
    </dataValidation>
    <dataValidation imeMode="off" operator="equal" allowBlank="1" showInputMessage="1" showErrorMessage="1" errorTitle="学年の入力エラー" error="学年は１桁です。" prompt="一般の方は年齢を入力してください。" sqref="D37:D40 D43:D54" xr:uid="{342B40C2-8A56-48E3-A00A-411AED80EC19}"/>
    <dataValidation imeMode="halfKatakana" allowBlank="1" showInputMessage="1" showErrorMessage="1" prompt="半角カナで入力してください。" sqref="C34 C36:C40 C43:C54" xr:uid="{F73845B7-F5EF-4660-8A12-A30844301FD7}"/>
    <dataValidation operator="equal" allowBlank="1" showInputMessage="1" showErrorMessage="1" errorTitle="学校の入力エラー" error="学校コードは６桁です。" promptTitle="所属名" prompt="所属名を入力してください。_x000a_学校の場合は下記の書式でお願いします。_x000a_○○中_x000a_○○高_x000a_○○大" sqref="G11:G66" xr:uid="{A534ADF4-4B83-41B8-89C5-C04752A35DC9}"/>
    <dataValidation type="textLength" allowBlank="1" showInputMessage="1" showErrorMessage="1" errorTitle="ＤＢコードの入力エラー" error="ＤＢコードは９桁です。_x000a_(枝番なしは６桁)" prompt="入力不要です" sqref="A11:A66" xr:uid="{F4AB65AD-3B7F-4754-9B01-8544E5E37CE2}">
      <formula1>6</formula1>
      <formula2>9</formula2>
    </dataValidation>
  </dataValidations>
  <printOptions horizontalCentered="1" verticalCentered="1"/>
  <pageMargins left="0.23622047244094491" right="0.27559055118110237" top="0.55118110236220474" bottom="0.55118110236220474" header="0.39370078740157483" footer="0.35433070866141736"/>
  <pageSetup paperSize="9" scale="90" orientation="landscape" blackAndWhite="1" horizontalDpi="4294967293" verticalDpi="300" r:id="rId1"/>
  <headerFooter alignWithMargins="0">
    <oddFooter>&amp;C&amp;P ﾍﾟｰｼﾞ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377DB-968E-4FEB-9983-5E1096FE6585}">
  <dimension ref="A1:Q33"/>
  <sheetViews>
    <sheetView workbookViewId="0">
      <selection activeCell="N16" sqref="N16"/>
    </sheetView>
  </sheetViews>
  <sheetFormatPr defaultRowHeight="13.5" x14ac:dyDescent="0.15"/>
  <cols>
    <col min="1" max="1" width="11.375" customWidth="1"/>
    <col min="2" max="2" width="12.875" customWidth="1"/>
    <col min="3" max="3" width="13.75" customWidth="1"/>
    <col min="4" max="4" width="10.75" customWidth="1"/>
    <col min="6" max="6" width="12.5" customWidth="1"/>
    <col min="7" max="7" width="11.125" customWidth="1"/>
    <col min="8" max="8" width="11.5" customWidth="1"/>
    <col min="9" max="9" width="13" customWidth="1"/>
    <col min="10" max="10" width="12" customWidth="1"/>
    <col min="11" max="11" width="12.125" customWidth="1"/>
  </cols>
  <sheetData>
    <row r="1" spans="1:17" ht="18.75" x14ac:dyDescent="0.2">
      <c r="A1" s="51" t="s">
        <v>132</v>
      </c>
      <c r="B1" s="52"/>
      <c r="D1" s="53" t="s">
        <v>81</v>
      </c>
      <c r="I1" s="54" t="s">
        <v>133</v>
      </c>
    </row>
    <row r="2" spans="1:17" x14ac:dyDescent="0.15">
      <c r="D2" s="135" t="s">
        <v>131</v>
      </c>
    </row>
    <row r="3" spans="1:17" ht="14.25" thickBot="1" x14ac:dyDescent="0.2">
      <c r="A3" s="55" t="s">
        <v>82</v>
      </c>
      <c r="B3" s="15"/>
      <c r="C3" s="15"/>
      <c r="D3" s="1"/>
      <c r="H3" s="1"/>
      <c r="I3" s="1"/>
      <c r="J3" s="1"/>
      <c r="K3" s="1"/>
    </row>
    <row r="4" spans="1:17" ht="30" customHeight="1" thickBot="1" x14ac:dyDescent="0.2">
      <c r="A4" s="56" t="s">
        <v>83</v>
      </c>
      <c r="B4" s="134" t="s">
        <v>134</v>
      </c>
      <c r="C4" s="56" t="s">
        <v>84</v>
      </c>
      <c r="D4" s="56" t="s">
        <v>85</v>
      </c>
      <c r="E4" s="57" t="s">
        <v>86</v>
      </c>
      <c r="F4" s="58" t="s">
        <v>87</v>
      </c>
      <c r="G4" s="58" t="s">
        <v>88</v>
      </c>
      <c r="H4" s="58" t="s">
        <v>89</v>
      </c>
      <c r="I4" s="58" t="s">
        <v>90</v>
      </c>
      <c r="J4" s="58" t="s">
        <v>91</v>
      </c>
      <c r="K4" s="58" t="s">
        <v>92</v>
      </c>
    </row>
    <row r="5" spans="1:17" ht="30" customHeight="1" x14ac:dyDescent="0.15">
      <c r="A5" s="133" t="s">
        <v>130</v>
      </c>
      <c r="B5" s="132" t="s">
        <v>129</v>
      </c>
      <c r="C5" s="59" t="str">
        <f t="shared" ref="C5:C14" si="0">IF(B5="","",VLOOKUP(B5,$M$6:$N$26,2,FALSE))</f>
        <v>中学生男子</v>
      </c>
      <c r="D5" s="131" t="s">
        <v>93</v>
      </c>
      <c r="E5" s="130" t="s">
        <v>94</v>
      </c>
      <c r="F5" s="129" t="s">
        <v>95</v>
      </c>
      <c r="G5" s="129" t="s">
        <v>96</v>
      </c>
      <c r="H5" s="128" t="s">
        <v>97</v>
      </c>
      <c r="I5" s="128" t="s">
        <v>98</v>
      </c>
      <c r="J5" s="128" t="s">
        <v>99</v>
      </c>
      <c r="K5" s="128" t="s">
        <v>100</v>
      </c>
    </row>
    <row r="6" spans="1:17" ht="30" customHeight="1" x14ac:dyDescent="0.2">
      <c r="A6" s="127"/>
      <c r="B6" s="126"/>
      <c r="C6" s="97" t="str">
        <f t="shared" si="0"/>
        <v/>
      </c>
      <c r="D6" s="116"/>
      <c r="E6" s="117"/>
      <c r="F6" s="119"/>
      <c r="G6" s="116"/>
      <c r="H6" s="119"/>
      <c r="I6" s="116"/>
      <c r="J6" s="100"/>
      <c r="K6" s="95"/>
      <c r="L6" s="65"/>
      <c r="M6" s="121" t="s">
        <v>101</v>
      </c>
      <c r="N6" s="163" t="s">
        <v>128</v>
      </c>
      <c r="O6" s="164"/>
      <c r="P6" s="165"/>
      <c r="Q6" s="66">
        <f>COUNTIF(B27:B45,"1")</f>
        <v>0</v>
      </c>
    </row>
    <row r="7" spans="1:17" ht="30" customHeight="1" x14ac:dyDescent="0.2">
      <c r="A7" s="99"/>
      <c r="B7" s="98"/>
      <c r="C7" s="97" t="str">
        <f t="shared" si="0"/>
        <v/>
      </c>
      <c r="D7" s="95"/>
      <c r="E7" s="96"/>
      <c r="F7" s="100"/>
      <c r="G7" s="95"/>
      <c r="H7" s="100"/>
      <c r="I7" s="95"/>
      <c r="J7" s="100"/>
      <c r="K7" s="95"/>
      <c r="L7" s="65"/>
      <c r="M7" s="121" t="s">
        <v>102</v>
      </c>
      <c r="N7" s="163" t="s">
        <v>127</v>
      </c>
      <c r="O7" s="164"/>
      <c r="P7" s="165"/>
      <c r="Q7" s="66">
        <f>COUNTIF(B27:B33,"2")</f>
        <v>0</v>
      </c>
    </row>
    <row r="8" spans="1:17" ht="30" customHeight="1" x14ac:dyDescent="0.2">
      <c r="A8" s="99"/>
      <c r="B8" s="98"/>
      <c r="C8" s="110" t="str">
        <f t="shared" si="0"/>
        <v/>
      </c>
      <c r="D8" s="95"/>
      <c r="E8" s="96"/>
      <c r="F8" s="122"/>
      <c r="G8" s="100"/>
      <c r="H8" s="95"/>
      <c r="I8" s="95"/>
      <c r="J8" s="95"/>
      <c r="K8" s="95"/>
      <c r="L8" s="65"/>
      <c r="M8" s="121" t="s">
        <v>103</v>
      </c>
      <c r="N8" s="163" t="s">
        <v>104</v>
      </c>
      <c r="O8" s="164"/>
      <c r="P8" s="165"/>
      <c r="Q8" s="66">
        <f>COUNTIF(B27:B33,"3")</f>
        <v>0</v>
      </c>
    </row>
    <row r="9" spans="1:17" ht="30" customHeight="1" x14ac:dyDescent="0.2">
      <c r="A9" s="99"/>
      <c r="B9" s="98"/>
      <c r="C9" s="110" t="str">
        <f t="shared" si="0"/>
        <v/>
      </c>
      <c r="D9" s="95"/>
      <c r="E9" s="96"/>
      <c r="F9" s="95"/>
      <c r="G9" s="95"/>
      <c r="H9" s="95"/>
      <c r="I9" s="95"/>
      <c r="J9" s="95"/>
      <c r="K9" s="95"/>
      <c r="L9" s="67"/>
      <c r="M9" s="121" t="s">
        <v>105</v>
      </c>
      <c r="N9" s="163" t="s">
        <v>106</v>
      </c>
      <c r="O9" s="164"/>
      <c r="P9" s="165"/>
      <c r="Q9" s="66">
        <f>COUNTIF(B27:B33,"4")</f>
        <v>0</v>
      </c>
    </row>
    <row r="10" spans="1:17" ht="30" customHeight="1" x14ac:dyDescent="0.2">
      <c r="A10" s="99"/>
      <c r="B10" s="98"/>
      <c r="C10" s="106" t="str">
        <f t="shared" si="0"/>
        <v/>
      </c>
      <c r="D10" s="123"/>
      <c r="E10" s="125"/>
      <c r="F10" s="124"/>
      <c r="G10" s="123"/>
      <c r="H10" s="124"/>
      <c r="I10" s="123"/>
      <c r="J10" s="124"/>
      <c r="K10" s="123"/>
      <c r="L10" s="65"/>
      <c r="M10" s="121" t="s">
        <v>126</v>
      </c>
      <c r="N10" s="160" t="s">
        <v>107</v>
      </c>
      <c r="O10" s="161"/>
      <c r="P10" s="162"/>
      <c r="Q10" s="66">
        <f>COUNTIF(B27:B35,"3")</f>
        <v>0</v>
      </c>
    </row>
    <row r="11" spans="1:17" ht="30" customHeight="1" x14ac:dyDescent="0.2">
      <c r="A11" s="99"/>
      <c r="B11" s="98"/>
      <c r="C11" s="110" t="str">
        <f t="shared" si="0"/>
        <v/>
      </c>
      <c r="D11" s="95"/>
      <c r="E11" s="96"/>
      <c r="F11" s="122"/>
      <c r="G11" s="100"/>
      <c r="H11" s="95"/>
      <c r="I11" s="95"/>
      <c r="J11" s="95"/>
      <c r="K11" s="95"/>
      <c r="L11" s="65"/>
      <c r="M11" s="121" t="s">
        <v>125</v>
      </c>
      <c r="N11" s="163" t="s">
        <v>108</v>
      </c>
      <c r="O11" s="164"/>
      <c r="P11" s="165"/>
      <c r="Q11" s="66">
        <f>COUNTIF(B27:B35,"4")</f>
        <v>0</v>
      </c>
    </row>
    <row r="12" spans="1:17" ht="30" customHeight="1" x14ac:dyDescent="0.2">
      <c r="A12" s="99"/>
      <c r="B12" s="98"/>
      <c r="C12" s="110" t="str">
        <f t="shared" si="0"/>
        <v/>
      </c>
      <c r="D12" s="95"/>
      <c r="E12" s="96"/>
      <c r="F12" s="95"/>
      <c r="G12" s="95"/>
      <c r="H12" s="95"/>
      <c r="I12" s="95"/>
      <c r="J12" s="95"/>
      <c r="K12" s="95"/>
      <c r="M12" s="121" t="s">
        <v>124</v>
      </c>
      <c r="N12" s="160" t="s">
        <v>123</v>
      </c>
      <c r="O12" s="161"/>
      <c r="P12" s="162"/>
      <c r="Q12" s="66">
        <f>COUNTIF(B27:B37,"3")</f>
        <v>0</v>
      </c>
    </row>
    <row r="13" spans="1:17" ht="30" customHeight="1" x14ac:dyDescent="0.2">
      <c r="A13" s="99"/>
      <c r="B13" s="98"/>
      <c r="C13" s="110" t="str">
        <f t="shared" si="0"/>
        <v/>
      </c>
      <c r="D13" s="62"/>
      <c r="E13" s="63"/>
      <c r="F13" s="60"/>
      <c r="G13" s="62"/>
      <c r="H13" s="60"/>
      <c r="I13" s="62"/>
      <c r="J13" s="115"/>
      <c r="K13" s="64"/>
      <c r="M13" s="121" t="s">
        <v>122</v>
      </c>
      <c r="N13" s="160" t="s">
        <v>121</v>
      </c>
      <c r="O13" s="161"/>
      <c r="P13" s="162"/>
      <c r="Q13" s="66">
        <f>COUNTIF(B27:B37,"4")</f>
        <v>0</v>
      </c>
    </row>
    <row r="14" spans="1:17" ht="30" customHeight="1" x14ac:dyDescent="0.15">
      <c r="A14" s="99"/>
      <c r="B14" s="98"/>
      <c r="C14" s="118" t="str">
        <f t="shared" si="0"/>
        <v/>
      </c>
      <c r="D14" s="95"/>
      <c r="E14" s="117"/>
      <c r="F14" s="119"/>
      <c r="G14" s="116"/>
      <c r="H14" s="119"/>
      <c r="I14" s="116"/>
      <c r="J14" s="100"/>
      <c r="K14" s="95"/>
    </row>
    <row r="15" spans="1:17" ht="30" customHeight="1" x14ac:dyDescent="0.15">
      <c r="A15" s="99"/>
      <c r="B15" s="98"/>
      <c r="C15" s="118" t="str">
        <f>IF(B15="","",VLOOKUP(B15,$M$6:$N$15,2,FALSE))</f>
        <v/>
      </c>
      <c r="D15" s="95"/>
      <c r="E15" s="117"/>
      <c r="F15" s="120"/>
      <c r="G15" s="119"/>
      <c r="H15" s="116"/>
      <c r="I15" s="116"/>
      <c r="J15" s="95"/>
      <c r="K15" s="95"/>
    </row>
    <row r="16" spans="1:17" ht="30" customHeight="1" x14ac:dyDescent="0.15">
      <c r="A16" s="99"/>
      <c r="B16" s="98"/>
      <c r="C16" s="118" t="str">
        <f>IF(B16="","",VLOOKUP(B16,$M$6:$N$15,2,FALSE))</f>
        <v/>
      </c>
      <c r="D16" s="95"/>
      <c r="E16" s="117"/>
      <c r="F16" s="116"/>
      <c r="G16" s="116"/>
      <c r="H16" s="116"/>
      <c r="I16" s="116"/>
      <c r="J16" s="95"/>
      <c r="K16" s="95"/>
    </row>
    <row r="17" spans="1:11" ht="30" customHeight="1" x14ac:dyDescent="0.15">
      <c r="A17" s="99"/>
      <c r="B17" s="98"/>
      <c r="C17" s="114" t="str">
        <f>IF(B17="","",VLOOKUP(B17,$M$6:$N$26,2,FALSE))</f>
        <v/>
      </c>
      <c r="D17" s="62"/>
      <c r="E17" s="113"/>
      <c r="F17" s="79"/>
      <c r="G17" s="79"/>
      <c r="H17" s="79"/>
      <c r="I17" s="79"/>
      <c r="J17" s="115"/>
      <c r="K17" s="64"/>
    </row>
    <row r="18" spans="1:11" ht="30" customHeight="1" x14ac:dyDescent="0.15">
      <c r="A18" s="99"/>
      <c r="B18" s="98"/>
      <c r="C18" s="114" t="str">
        <f>IF(B18="","",VLOOKUP(B18,$M$6:$N$26,2,FALSE))</f>
        <v/>
      </c>
      <c r="D18" s="62"/>
      <c r="E18" s="113"/>
      <c r="F18" s="111"/>
      <c r="G18" s="111"/>
      <c r="H18" s="111"/>
      <c r="I18" s="111"/>
      <c r="J18" s="64"/>
      <c r="K18" s="64"/>
    </row>
    <row r="19" spans="1:11" ht="30" customHeight="1" x14ac:dyDescent="0.15">
      <c r="A19" s="99"/>
      <c r="B19" s="98"/>
      <c r="C19" s="114" t="str">
        <f>IF(B19="","",VLOOKUP(B19,$M$6:$N$15,2,FALSE))</f>
        <v/>
      </c>
      <c r="D19" s="62"/>
      <c r="E19" s="113"/>
      <c r="F19" s="111"/>
      <c r="G19" s="111"/>
      <c r="H19" s="111"/>
      <c r="I19" s="111"/>
      <c r="J19" s="64"/>
      <c r="K19" s="64"/>
    </row>
    <row r="20" spans="1:11" ht="30" customHeight="1" x14ac:dyDescent="0.15">
      <c r="A20" s="99"/>
      <c r="B20" s="98"/>
      <c r="C20" s="114" t="str">
        <f>IF(B20="","",VLOOKUP(B20,$M$6:$N$15,2,FALSE))</f>
        <v/>
      </c>
      <c r="D20" s="62"/>
      <c r="E20" s="113"/>
      <c r="F20" s="111"/>
      <c r="G20" s="112"/>
      <c r="H20" s="111"/>
      <c r="I20" s="111"/>
      <c r="J20" s="64"/>
      <c r="K20" s="64"/>
    </row>
    <row r="21" spans="1:11" ht="30" customHeight="1" x14ac:dyDescent="0.15">
      <c r="A21" s="99"/>
      <c r="B21" s="98"/>
      <c r="C21" s="110" t="str">
        <f>IF(B21="","",VLOOKUP(B21,$M$6:$N$26,2,FALSE))</f>
        <v/>
      </c>
      <c r="D21" s="95"/>
      <c r="E21" s="96"/>
      <c r="F21" s="107"/>
      <c r="G21" s="109"/>
      <c r="H21" s="103"/>
      <c r="I21" s="103"/>
      <c r="J21" s="108"/>
      <c r="K21" s="95"/>
    </row>
    <row r="22" spans="1:11" ht="30" customHeight="1" x14ac:dyDescent="0.15">
      <c r="A22" s="99"/>
      <c r="B22" s="98"/>
      <c r="C22" s="106" t="str">
        <f>IF(B22="","",VLOOKUP(B22,$M$6:$N$26,2,FALSE))</f>
        <v/>
      </c>
      <c r="D22" s="95"/>
      <c r="E22" s="96"/>
      <c r="F22" s="107"/>
      <c r="G22" s="105"/>
      <c r="H22" s="104"/>
      <c r="I22" s="107"/>
      <c r="J22" s="103"/>
      <c r="K22" s="104"/>
    </row>
    <row r="23" spans="1:11" ht="30" customHeight="1" x14ac:dyDescent="0.15">
      <c r="A23" s="99"/>
      <c r="B23" s="98"/>
      <c r="C23" s="106" t="str">
        <f>IF(B23="","",VLOOKUP(B23,$M$6:$N$26,2,FALSE))</f>
        <v/>
      </c>
      <c r="D23" s="95"/>
      <c r="E23" s="96"/>
      <c r="F23" s="105"/>
      <c r="G23" s="103"/>
      <c r="H23" s="104"/>
      <c r="I23" s="103"/>
      <c r="J23" s="102"/>
      <c r="K23" s="95"/>
    </row>
    <row r="24" spans="1:11" ht="30" customHeight="1" x14ac:dyDescent="0.15">
      <c r="A24" s="99"/>
      <c r="B24" s="98"/>
      <c r="C24" s="97" t="str">
        <f>IF(B24="","",VLOOKUP(B24,$M$6:$N$20,2,FALSE))</f>
        <v/>
      </c>
      <c r="D24" s="95"/>
      <c r="E24" s="96"/>
      <c r="F24" s="101"/>
      <c r="G24" s="64"/>
      <c r="H24" s="64"/>
      <c r="I24" s="95"/>
      <c r="J24" s="100"/>
      <c r="K24" s="95"/>
    </row>
    <row r="25" spans="1:11" ht="30" customHeight="1" x14ac:dyDescent="0.15">
      <c r="A25" s="99"/>
      <c r="B25" s="98"/>
      <c r="C25" s="97" t="str">
        <f>IF(B25="","",VLOOKUP(B25,$M$6:$N$15,2,FALSE))</f>
        <v/>
      </c>
      <c r="D25" s="95"/>
      <c r="E25" s="96"/>
      <c r="F25" s="64"/>
      <c r="G25" s="64"/>
      <c r="H25" s="64"/>
      <c r="I25" s="64"/>
      <c r="J25" s="95"/>
      <c r="K25" s="95"/>
    </row>
    <row r="26" spans="1:11" ht="30" customHeight="1" x14ac:dyDescent="0.15">
      <c r="A26" s="99"/>
      <c r="B26" s="98"/>
      <c r="C26" s="97" t="str">
        <f>IF(B26="","",VLOOKUP(B26,$M$6:$N$15,2,FALSE))</f>
        <v/>
      </c>
      <c r="D26" s="95"/>
      <c r="E26" s="96"/>
      <c r="F26" s="95"/>
      <c r="G26" s="95"/>
      <c r="H26" s="95"/>
      <c r="I26" s="95"/>
      <c r="J26" s="95"/>
      <c r="K26" s="95"/>
    </row>
    <row r="27" spans="1:11" ht="30" customHeight="1" x14ac:dyDescent="0.15">
      <c r="A27" s="60"/>
      <c r="B27" s="60"/>
      <c r="C27" s="61"/>
      <c r="D27" s="60"/>
      <c r="E27" s="63"/>
      <c r="F27" s="64"/>
      <c r="G27" s="64"/>
      <c r="H27" s="64"/>
      <c r="I27" s="64"/>
      <c r="J27" s="64"/>
      <c r="K27" s="64"/>
    </row>
    <row r="28" spans="1:11" ht="30" customHeight="1" x14ac:dyDescent="0.15">
      <c r="A28" s="60"/>
      <c r="B28" s="60"/>
      <c r="C28" s="61"/>
      <c r="D28" s="60"/>
      <c r="E28" s="63"/>
      <c r="F28" s="64"/>
      <c r="G28" s="64"/>
      <c r="H28" s="64"/>
      <c r="I28" s="64"/>
      <c r="J28" s="64"/>
      <c r="K28" s="64"/>
    </row>
    <row r="29" spans="1:11" ht="30" customHeight="1" x14ac:dyDescent="0.15">
      <c r="A29" s="60"/>
      <c r="B29" s="60"/>
      <c r="C29" s="61"/>
      <c r="D29" s="60"/>
      <c r="E29" s="63"/>
      <c r="F29" s="64"/>
      <c r="G29" s="64"/>
      <c r="H29" s="64"/>
      <c r="I29" s="64"/>
      <c r="J29" s="64"/>
      <c r="K29" s="64"/>
    </row>
    <row r="30" spans="1:11" ht="30" customHeight="1" x14ac:dyDescent="0.15">
      <c r="A30" s="60"/>
      <c r="B30" s="60"/>
      <c r="C30" s="61"/>
      <c r="D30" s="60"/>
      <c r="E30" s="63"/>
      <c r="F30" s="64"/>
      <c r="G30" s="64"/>
      <c r="H30" s="64"/>
      <c r="I30" s="64"/>
      <c r="J30" s="64"/>
      <c r="K30" s="64"/>
    </row>
    <row r="31" spans="1:11" ht="30" customHeight="1" x14ac:dyDescent="0.15">
      <c r="A31" s="60"/>
      <c r="B31" s="60"/>
      <c r="C31" s="61"/>
      <c r="D31" s="60"/>
      <c r="E31" s="63"/>
      <c r="F31" s="64"/>
      <c r="G31" s="64"/>
      <c r="H31" s="64"/>
      <c r="I31" s="64"/>
      <c r="J31" s="64"/>
      <c r="K31" s="64"/>
    </row>
    <row r="32" spans="1:11" ht="30" customHeight="1" x14ac:dyDescent="0.15">
      <c r="A32" s="60"/>
      <c r="B32" s="60"/>
      <c r="C32" s="61"/>
      <c r="D32" s="60"/>
      <c r="E32" s="63"/>
      <c r="F32" s="64"/>
      <c r="G32" s="64"/>
      <c r="H32" s="64"/>
      <c r="I32" s="64"/>
      <c r="J32" s="64"/>
      <c r="K32" s="64"/>
    </row>
    <row r="33" spans="1:11" ht="30" customHeight="1" x14ac:dyDescent="0.15">
      <c r="A33" s="60"/>
      <c r="B33" s="60"/>
      <c r="C33" s="61" t="str">
        <f>IF(B33="","",VLOOKUP(B33,$M$27:$N$33,2,FALSE))</f>
        <v/>
      </c>
      <c r="D33" s="60"/>
      <c r="E33" s="63"/>
      <c r="F33" s="64"/>
      <c r="G33" s="64"/>
      <c r="H33" s="64"/>
      <c r="I33" s="64"/>
      <c r="J33" s="64"/>
      <c r="K33" s="64"/>
    </row>
  </sheetData>
  <mergeCells count="8">
    <mergeCell ref="N12:P12"/>
    <mergeCell ref="N13:P13"/>
    <mergeCell ref="N10:P10"/>
    <mergeCell ref="N11:P11"/>
    <mergeCell ref="N6:P6"/>
    <mergeCell ref="N7:P7"/>
    <mergeCell ref="N8:P8"/>
    <mergeCell ref="N9:P9"/>
  </mergeCells>
  <phoneticPr fontId="3"/>
  <dataValidations count="8">
    <dataValidation allowBlank="1" showInputMessage="1" showErrorMessage="1" prompt="学校の場合は下記の書式でお願いします_x000a_○○中_x000a_○○高_x000a_○○大" sqref="D6:D33" xr:uid="{5982E064-EC1F-4AF4-8940-D83BFA1803BD}"/>
    <dataValidation type="textLength" operator="equal" allowBlank="1" showErrorMessage="1" errorTitle="参考記録入力のエラー" error="リレーの参考記録は５桁です。_x000a_（例）50秒48→05048" sqref="E5:E33" xr:uid="{73DD402B-1577-47C6-AA95-C4CD0D216BD8}">
      <formula1>5</formula1>
    </dataValidation>
    <dataValidation allowBlank="1" showInputMessage="1" showErrorMessage="1" prompt="全角で、学年は半角入力" sqref="F8 F11 F15 F18:I19 F22 H20:I20 F20" xr:uid="{06473E4D-5670-47C4-8D44-0DE53AC585B7}"/>
    <dataValidation type="textLength" operator="equal" allowBlank="1" showInputMessage="1" showErrorMessage="1" errorTitle="学校コード入力のエラー" error="学校コードは６桁です。" prompt="入力不要です" sqref="A27:A33" xr:uid="{CDA4BD78-1FB8-45A8-8294-21A8927D284D}">
      <formula1>6</formula1>
    </dataValidation>
    <dataValidation allowBlank="1" showInputMessage="1" showErrorMessage="1" sqref="C3:C33 E4:G4 M7:N7 M9:M13 A3:A5 B3:B4 H3:K5 D2:D5 L6:L11 I22 G20 F21" xr:uid="{88902808-7F70-4902-A0C4-3B33486BDE1E}"/>
    <dataValidation imeMode="hiragana" allowBlank="1" showInputMessage="1" showErrorMessage="1" prompt="全角で苗字と名の間は１字開ける、生徒・学生は（）で新学年を入力してください。" sqref="H21:I21 I23 J22 F23:G23 G22" xr:uid="{06002EA3-F13E-4183-8AE1-643045D4CA4A}"/>
    <dataValidation allowBlank="1" showInputMessage="1" showErrorMessage="1" prompt="全角で苗字と名の間は１字開ける、生徒・学生は（）で新学年を入力してください。" sqref="K22 H22:H23" xr:uid="{24EA317B-46DC-4E16-87B7-37DA2BC92FB2}"/>
    <dataValidation allowBlank="1" showInputMessage="1" showErrorMessage="1" prompt="陸連登録者のみナンバーカードの番号記入、小学生空欄" sqref="F13:I13 F17:I17" xr:uid="{96260812-2A8A-4331-8188-8741AA90A6F6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12E2B-751F-454A-87CA-5F1D797F1D22}">
  <dimension ref="B1:F16"/>
  <sheetViews>
    <sheetView showGridLines="0" workbookViewId="0"/>
  </sheetViews>
  <sheetFormatPr defaultRowHeight="13.5" x14ac:dyDescent="0.15"/>
  <cols>
    <col min="1" max="1" width="1" customWidth="1"/>
    <col min="2" max="2" width="56.375" customWidth="1"/>
    <col min="3" max="3" width="1.375" customWidth="1"/>
    <col min="4" max="4" width="4.875" customWidth="1"/>
    <col min="5" max="6" width="14" customWidth="1"/>
  </cols>
  <sheetData>
    <row r="1" spans="2:6" x14ac:dyDescent="0.15">
      <c r="B1" s="136" t="s">
        <v>135</v>
      </c>
      <c r="C1" s="136"/>
      <c r="D1" s="145"/>
      <c r="E1" s="145"/>
      <c r="F1" s="145"/>
    </row>
    <row r="2" spans="2:6" x14ac:dyDescent="0.15">
      <c r="B2" s="136" t="s">
        <v>136</v>
      </c>
      <c r="C2" s="136"/>
      <c r="D2" s="145"/>
      <c r="E2" s="145"/>
      <c r="F2" s="145"/>
    </row>
    <row r="3" spans="2:6" x14ac:dyDescent="0.15">
      <c r="B3" s="137"/>
      <c r="C3" s="137"/>
      <c r="D3" s="146"/>
      <c r="E3" s="146"/>
      <c r="F3" s="146"/>
    </row>
    <row r="4" spans="2:6" ht="40.5" x14ac:dyDescent="0.15">
      <c r="B4" s="137" t="s">
        <v>137</v>
      </c>
      <c r="C4" s="137"/>
      <c r="D4" s="146"/>
      <c r="E4" s="146"/>
      <c r="F4" s="146"/>
    </row>
    <row r="5" spans="2:6" x14ac:dyDescent="0.15">
      <c r="B5" s="137"/>
      <c r="C5" s="137"/>
      <c r="D5" s="146"/>
      <c r="E5" s="146"/>
      <c r="F5" s="146"/>
    </row>
    <row r="6" spans="2:6" x14ac:dyDescent="0.15">
      <c r="B6" s="136" t="s">
        <v>138</v>
      </c>
      <c r="C6" s="136"/>
      <c r="D6" s="145"/>
      <c r="E6" s="145" t="s">
        <v>139</v>
      </c>
      <c r="F6" s="145" t="s">
        <v>140</v>
      </c>
    </row>
    <row r="7" spans="2:6" ht="14.25" thickBot="1" x14ac:dyDescent="0.2">
      <c r="B7" s="137"/>
      <c r="C7" s="137"/>
      <c r="D7" s="146"/>
      <c r="E7" s="146"/>
      <c r="F7" s="146"/>
    </row>
    <row r="8" spans="2:6" ht="40.5" x14ac:dyDescent="0.15">
      <c r="B8" s="138" t="s">
        <v>141</v>
      </c>
      <c r="C8" s="139"/>
      <c r="D8" s="147"/>
      <c r="E8" s="147">
        <v>50</v>
      </c>
      <c r="F8" s="148"/>
    </row>
    <row r="9" spans="2:6" ht="27" x14ac:dyDescent="0.15">
      <c r="B9" s="140"/>
      <c r="C9" s="137"/>
      <c r="D9" s="146"/>
      <c r="E9" s="149" t="s">
        <v>142</v>
      </c>
      <c r="F9" s="150" t="s">
        <v>144</v>
      </c>
    </row>
    <row r="10" spans="2:6" ht="27.75" thickBot="1" x14ac:dyDescent="0.2">
      <c r="B10" s="141"/>
      <c r="C10" s="142"/>
      <c r="D10" s="151"/>
      <c r="E10" s="152" t="s">
        <v>143</v>
      </c>
      <c r="F10" s="153"/>
    </row>
    <row r="11" spans="2:6" x14ac:dyDescent="0.15">
      <c r="B11" s="137"/>
      <c r="C11" s="137"/>
      <c r="D11" s="146"/>
      <c r="E11" s="146"/>
      <c r="F11" s="146"/>
    </row>
    <row r="12" spans="2:6" x14ac:dyDescent="0.15">
      <c r="B12" s="137"/>
      <c r="C12" s="137"/>
      <c r="D12" s="146"/>
      <c r="E12" s="146"/>
      <c r="F12" s="146"/>
    </row>
    <row r="13" spans="2:6" x14ac:dyDescent="0.15">
      <c r="B13" s="136" t="s">
        <v>145</v>
      </c>
      <c r="C13" s="136"/>
      <c r="D13" s="145"/>
      <c r="E13" s="145"/>
      <c r="F13" s="145"/>
    </row>
    <row r="14" spans="2:6" ht="14.25" thickBot="1" x14ac:dyDescent="0.2">
      <c r="B14" s="137"/>
      <c r="C14" s="137"/>
      <c r="D14" s="146"/>
      <c r="E14" s="146"/>
      <c r="F14" s="146"/>
    </row>
    <row r="15" spans="2:6" ht="41.25" thickBot="1" x14ac:dyDescent="0.2">
      <c r="B15" s="143" t="s">
        <v>146</v>
      </c>
      <c r="C15" s="144"/>
      <c r="D15" s="154"/>
      <c r="E15" s="154">
        <v>7</v>
      </c>
      <c r="F15" s="155" t="s">
        <v>144</v>
      </c>
    </row>
    <row r="16" spans="2:6" x14ac:dyDescent="0.15">
      <c r="B16" s="137"/>
      <c r="C16" s="137"/>
      <c r="D16" s="146"/>
      <c r="E16" s="146"/>
      <c r="F16" s="146"/>
    </row>
  </sheetData>
  <phoneticPr fontId="3"/>
  <hyperlinks>
    <hyperlink ref="E9" location="'個人一覧'!Q11:R25" display="'個人一覧'!Q11:R25" xr:uid="{7C7EA395-F890-424D-B0AD-0F0F6F90B513}"/>
    <hyperlink ref="E10" location="'個人一覧'!Q27:R36" display="'個人一覧'!Q27:R36" xr:uid="{8750D842-5D23-4715-985A-D1B3F4B041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個人一覧</vt:lpstr>
      <vt:lpstr>リレー</vt:lpstr>
      <vt:lpstr>Sheet2</vt:lpstr>
      <vt:lpstr>個人一覧!Print_Area</vt:lpstr>
      <vt:lpstr>個人一覧!Print_Titles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申込み一覧表ver.4（種目コード５桁版）</dc:title>
  <dc:creator>nogami</dc:creator>
  <cp:lastModifiedBy>靖成 波多野</cp:lastModifiedBy>
  <cp:lastPrinted>2025-08-29T03:04:28Z</cp:lastPrinted>
  <dcterms:created xsi:type="dcterms:W3CDTF">1999-05-20T01:54:59Z</dcterms:created>
  <dcterms:modified xsi:type="dcterms:W3CDTF">2026-09-03T16:06:38Z</dcterms:modified>
</cp:coreProperties>
</file>